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ofa\users$\users1\a1088981\My Documents\Durum\Pre-Breeding Ideas\SAGIT 2015\UA415 2016-2017 Progress Report\"/>
    </mc:Choice>
  </mc:AlternateContent>
  <bookViews>
    <workbookView xWindow="7395" yWindow="-105" windowWidth="11910" windowHeight="8025"/>
  </bookViews>
  <sheets>
    <sheet name="QUALITY" sheetId="1" r:id="rId1"/>
    <sheet name="RESULTS" sheetId="2" r:id="rId2"/>
    <sheet name="COO BR" sheetId="3" r:id="rId3"/>
    <sheet name="COO DR" sheetId="4" r:id="rId4"/>
    <sheet name="RAC BR" sheetId="5" r:id="rId5"/>
    <sheet name="RAC DR" sheetId="6" r:id="rId6"/>
    <sheet name="SAN BR" sheetId="7" r:id="rId7"/>
    <sheet name="SAN DR" sheetId="8" r:id="rId8"/>
    <sheet name="WJ BR" sheetId="9" r:id="rId9"/>
    <sheet name="WJ DR" sheetId="10" r:id="rId10"/>
    <sheet name="YEE BR" sheetId="11" r:id="rId11"/>
    <sheet name="YEE DR" sheetId="12" r:id="rId12"/>
  </sheets>
  <externalReferences>
    <externalReference r:id="rId13"/>
  </externalReferences>
  <calcPr calcId="152511"/>
</workbook>
</file>

<file path=xl/calcChain.xml><?xml version="1.0" encoding="utf-8"?>
<calcChain xmlns="http://schemas.openxmlformats.org/spreadsheetml/2006/main">
  <c r="J9" i="1" l="1"/>
  <c r="J10" i="1"/>
  <c r="J11" i="1"/>
  <c r="J8" i="1"/>
  <c r="G1" i="3" l="1"/>
  <c r="C4" i="3"/>
  <c r="H4" i="3" s="1"/>
  <c r="E4" i="3"/>
  <c r="E10" i="3"/>
  <c r="C12" i="3"/>
  <c r="H12" i="3" s="1"/>
  <c r="E15" i="3"/>
  <c r="E17" i="3" s="1"/>
  <c r="H25" i="4"/>
  <c r="E10" i="12"/>
  <c r="E4" i="12"/>
  <c r="C4" i="12"/>
  <c r="E10" i="11"/>
  <c r="E4" i="11"/>
  <c r="C4" i="11"/>
  <c r="E10" i="10"/>
  <c r="E4" i="10"/>
  <c r="C4" i="10"/>
  <c r="E10" i="9"/>
  <c r="E4" i="9"/>
  <c r="C4" i="9"/>
  <c r="E10" i="8"/>
  <c r="E4" i="8"/>
  <c r="C4" i="8"/>
  <c r="E10" i="7"/>
  <c r="E4" i="7"/>
  <c r="C4" i="7"/>
  <c r="E10" i="6"/>
  <c r="E4" i="6"/>
  <c r="C4" i="6"/>
  <c r="C10" i="3" l="1"/>
  <c r="H10" i="3" s="1"/>
  <c r="H15" i="3" s="1"/>
  <c r="H17" i="3" s="1"/>
  <c r="C13" i="3"/>
  <c r="H13" i="3" s="1"/>
  <c r="C11" i="3"/>
  <c r="H11" i="3" s="1"/>
  <c r="F55" i="12"/>
  <c r="E55" i="12"/>
  <c r="D55" i="12"/>
  <c r="C56" i="12"/>
  <c r="C57" i="12"/>
  <c r="C58" i="12"/>
  <c r="C25" i="12"/>
  <c r="C26" i="12"/>
  <c r="C27" i="12"/>
  <c r="H27" i="12" s="1"/>
  <c r="L27" i="12" s="1"/>
  <c r="C28" i="12"/>
  <c r="H28" i="12" s="1"/>
  <c r="L28" i="12" s="1"/>
  <c r="C29" i="12"/>
  <c r="C30" i="12"/>
  <c r="C24" i="12"/>
  <c r="E23" i="12"/>
  <c r="E24" i="12"/>
  <c r="E25" i="12"/>
  <c r="H25" i="12" s="1"/>
  <c r="L25" i="12" s="1"/>
  <c r="E26" i="12"/>
  <c r="H26" i="12" s="1"/>
  <c r="L26" i="12" s="1"/>
  <c r="E27" i="12"/>
  <c r="E28" i="12"/>
  <c r="E29" i="12"/>
  <c r="H29" i="12" s="1"/>
  <c r="L29" i="12" s="1"/>
  <c r="E30" i="12"/>
  <c r="H30" i="12" s="1"/>
  <c r="L30" i="12" s="1"/>
  <c r="E33" i="12"/>
  <c r="C33" i="12"/>
  <c r="B25" i="12"/>
  <c r="B26" i="12"/>
  <c r="B27" i="12"/>
  <c r="B28" i="12"/>
  <c r="B29" i="12"/>
  <c r="B30" i="12"/>
  <c r="B24" i="12"/>
  <c r="L3" i="12"/>
  <c r="L4" i="12" s="1"/>
  <c r="G1" i="12"/>
  <c r="F56" i="11"/>
  <c r="E56" i="11"/>
  <c r="D56" i="11"/>
  <c r="C57" i="11"/>
  <c r="C58" i="11"/>
  <c r="C59" i="11"/>
  <c r="E34" i="11"/>
  <c r="E24" i="11"/>
  <c r="E25" i="11"/>
  <c r="E26" i="11"/>
  <c r="E27" i="11"/>
  <c r="E28" i="11"/>
  <c r="H28" i="11" s="1"/>
  <c r="L28" i="11" s="1"/>
  <c r="E29" i="11"/>
  <c r="H29" i="11" s="1"/>
  <c r="L29" i="11" s="1"/>
  <c r="E30" i="11"/>
  <c r="E31" i="11"/>
  <c r="E23" i="11"/>
  <c r="H23" i="11" s="1"/>
  <c r="L23" i="11" s="1"/>
  <c r="H25" i="11"/>
  <c r="C23" i="11"/>
  <c r="C24" i="11"/>
  <c r="C26" i="11"/>
  <c r="C27" i="11"/>
  <c r="C28" i="11"/>
  <c r="C29" i="11"/>
  <c r="C30" i="11"/>
  <c r="C31" i="11"/>
  <c r="C34" i="11"/>
  <c r="B25" i="11"/>
  <c r="B26" i="11"/>
  <c r="B27" i="11"/>
  <c r="B28" i="11"/>
  <c r="B29" i="11"/>
  <c r="B30" i="11"/>
  <c r="B31" i="11"/>
  <c r="B24" i="11"/>
  <c r="E15" i="11"/>
  <c r="E22" i="11"/>
  <c r="H22" i="11" s="1"/>
  <c r="C12" i="11"/>
  <c r="G1" i="11"/>
  <c r="F55" i="10"/>
  <c r="E55" i="10"/>
  <c r="D55" i="10"/>
  <c r="C56" i="10"/>
  <c r="C57" i="10"/>
  <c r="C58" i="10"/>
  <c r="C27" i="10"/>
  <c r="H27" i="10" s="1"/>
  <c r="L27" i="10" s="1"/>
  <c r="C28" i="10"/>
  <c r="H28" i="10" s="1"/>
  <c r="L28" i="10" s="1"/>
  <c r="C29" i="10"/>
  <c r="C30" i="10"/>
  <c r="C26" i="10"/>
  <c r="H25" i="10"/>
  <c r="E23" i="10"/>
  <c r="E24" i="10"/>
  <c r="E25" i="10"/>
  <c r="E26" i="10"/>
  <c r="E27" i="10"/>
  <c r="E28" i="10"/>
  <c r="E29" i="10"/>
  <c r="H29" i="10" s="1"/>
  <c r="L29" i="10" s="1"/>
  <c r="H23" i="10"/>
  <c r="L23" i="10" s="1"/>
  <c r="E30" i="10"/>
  <c r="H30" i="10" s="1"/>
  <c r="L30" i="10" s="1"/>
  <c r="E33" i="10"/>
  <c r="C33" i="10"/>
  <c r="B25" i="10"/>
  <c r="B26" i="10"/>
  <c r="B27" i="10"/>
  <c r="B28" i="10"/>
  <c r="B29" i="10"/>
  <c r="B30" i="10"/>
  <c r="B24" i="10"/>
  <c r="E22" i="10"/>
  <c r="L3" i="10"/>
  <c r="L4" i="10" s="1"/>
  <c r="G1" i="10"/>
  <c r="F56" i="9"/>
  <c r="E56" i="9"/>
  <c r="D56" i="9"/>
  <c r="C57" i="9"/>
  <c r="C58" i="9"/>
  <c r="C59" i="9"/>
  <c r="E24" i="9"/>
  <c r="E25" i="9"/>
  <c r="E26" i="9"/>
  <c r="E27" i="9"/>
  <c r="E28" i="9"/>
  <c r="E29" i="9"/>
  <c r="E30" i="9"/>
  <c r="H30" i="9" s="1"/>
  <c r="L30" i="9" s="1"/>
  <c r="E31" i="9"/>
  <c r="E23" i="9"/>
  <c r="H23" i="9" s="1"/>
  <c r="L23" i="9" s="1"/>
  <c r="C23" i="9"/>
  <c r="C24" i="9"/>
  <c r="H24" i="9" s="1"/>
  <c r="L24" i="9" s="1"/>
  <c r="H25" i="9"/>
  <c r="L25" i="9" s="1"/>
  <c r="C26" i="9"/>
  <c r="C27" i="9"/>
  <c r="C28" i="9"/>
  <c r="C29" i="9"/>
  <c r="C30" i="9"/>
  <c r="C31" i="9"/>
  <c r="C22" i="9"/>
  <c r="B25" i="9"/>
  <c r="B26" i="9"/>
  <c r="B27" i="9"/>
  <c r="B28" i="9"/>
  <c r="B30" i="9"/>
  <c r="B31" i="9"/>
  <c r="B24" i="9"/>
  <c r="C11" i="9"/>
  <c r="C24" i="8"/>
  <c r="C25" i="8"/>
  <c r="H25" i="8" s="1"/>
  <c r="L25" i="8" s="1"/>
  <c r="C26" i="8"/>
  <c r="C27" i="8"/>
  <c r="C28" i="8"/>
  <c r="C29" i="8"/>
  <c r="C30" i="8"/>
  <c r="C22" i="8"/>
  <c r="E23" i="8"/>
  <c r="H23" i="8" s="1"/>
  <c r="L23" i="8" s="1"/>
  <c r="E24" i="8"/>
  <c r="G1" i="9"/>
  <c r="F55" i="8"/>
  <c r="E55" i="8"/>
  <c r="D55" i="8"/>
  <c r="C56" i="8"/>
  <c r="C57" i="8"/>
  <c r="C58" i="8"/>
  <c r="E25" i="8"/>
  <c r="E26" i="8"/>
  <c r="E27" i="8"/>
  <c r="H27" i="8" s="1"/>
  <c r="L27" i="8" s="1"/>
  <c r="E28" i="8"/>
  <c r="H28" i="8" s="1"/>
  <c r="L28" i="8" s="1"/>
  <c r="E29" i="8"/>
  <c r="H29" i="8" s="1"/>
  <c r="L29" i="8" s="1"/>
  <c r="E30" i="8"/>
  <c r="E33" i="8"/>
  <c r="G1" i="8"/>
  <c r="F56" i="7"/>
  <c r="E56" i="7"/>
  <c r="D56" i="7"/>
  <c r="C57" i="7"/>
  <c r="C58" i="7"/>
  <c r="C59" i="7"/>
  <c r="E24" i="7"/>
  <c r="E25" i="7"/>
  <c r="E26" i="7"/>
  <c r="E27" i="7"/>
  <c r="E28" i="7"/>
  <c r="E29" i="7"/>
  <c r="E30" i="7"/>
  <c r="E31" i="7"/>
  <c r="H31" i="7" s="1"/>
  <c r="L31" i="7" s="1"/>
  <c r="E33" i="7"/>
  <c r="E34" i="7"/>
  <c r="H34" i="7" s="1"/>
  <c r="L34" i="7" s="1"/>
  <c r="E23" i="7"/>
  <c r="H23" i="7" s="1"/>
  <c r="L23" i="7" s="1"/>
  <c r="B25" i="7"/>
  <c r="B26" i="7"/>
  <c r="B27" i="7"/>
  <c r="B28" i="7"/>
  <c r="B29" i="7"/>
  <c r="B30" i="7"/>
  <c r="B31" i="7"/>
  <c r="B24" i="7"/>
  <c r="C34" i="7"/>
  <c r="C24" i="7"/>
  <c r="C25" i="7"/>
  <c r="H25" i="7" s="1"/>
  <c r="L25" i="7" s="1"/>
  <c r="C26" i="7"/>
  <c r="C27" i="7"/>
  <c r="C28" i="7"/>
  <c r="C29" i="7"/>
  <c r="C30" i="7"/>
  <c r="C23" i="7"/>
  <c r="E22" i="7"/>
  <c r="H22" i="7" s="1"/>
  <c r="G1" i="7"/>
  <c r="E56" i="6"/>
  <c r="F56" i="6"/>
  <c r="D56" i="6"/>
  <c r="C58" i="6"/>
  <c r="C57" i="6"/>
  <c r="C59" i="6"/>
  <c r="E23" i="6"/>
  <c r="E24" i="6"/>
  <c r="E25" i="6"/>
  <c r="H25" i="6" s="1"/>
  <c r="L25" i="6" s="1"/>
  <c r="E26" i="6"/>
  <c r="E27" i="6"/>
  <c r="E28" i="6"/>
  <c r="E29" i="6"/>
  <c r="E30" i="6"/>
  <c r="E31" i="6"/>
  <c r="E34" i="6"/>
  <c r="C31" i="6"/>
  <c r="H31" i="6" s="1"/>
  <c r="L31" i="6" s="1"/>
  <c r="C27" i="6"/>
  <c r="C28" i="6"/>
  <c r="C29" i="6"/>
  <c r="C30" i="6"/>
  <c r="C26" i="6"/>
  <c r="E15" i="6"/>
  <c r="G1" i="6"/>
  <c r="E31" i="5"/>
  <c r="H31" i="5" s="1"/>
  <c r="L31" i="5" s="1"/>
  <c r="E56" i="5"/>
  <c r="F56" i="5"/>
  <c r="D56" i="5"/>
  <c r="C58" i="5"/>
  <c r="C57" i="5"/>
  <c r="C59" i="5"/>
  <c r="E24" i="5"/>
  <c r="E34" i="5"/>
  <c r="E30" i="5"/>
  <c r="H30" i="5" s="1"/>
  <c r="L30" i="5" s="1"/>
  <c r="E28" i="5"/>
  <c r="H28" i="5" s="1"/>
  <c r="L28" i="5" s="1"/>
  <c r="E27" i="5"/>
  <c r="H27" i="5" s="1"/>
  <c r="L27" i="5" s="1"/>
  <c r="E26" i="5"/>
  <c r="H26" i="5" s="1"/>
  <c r="L26" i="5" s="1"/>
  <c r="H25" i="5"/>
  <c r="L25" i="5" s="1"/>
  <c r="H25" i="3"/>
  <c r="E25" i="5"/>
  <c r="E23" i="5"/>
  <c r="H23" i="5" s="1"/>
  <c r="L23" i="5" s="1"/>
  <c r="E10" i="5"/>
  <c r="E4" i="5"/>
  <c r="E22" i="5" s="1"/>
  <c r="H22" i="5" s="1"/>
  <c r="C4" i="5"/>
  <c r="C11" i="5" s="1"/>
  <c r="C12" i="5"/>
  <c r="G1" i="5"/>
  <c r="F55" i="4"/>
  <c r="E55" i="4"/>
  <c r="D55" i="4"/>
  <c r="C57" i="4"/>
  <c r="C58" i="4"/>
  <c r="C56" i="4"/>
  <c r="E33" i="4"/>
  <c r="E30" i="4"/>
  <c r="H30" i="4" s="1"/>
  <c r="L30" i="4" s="1"/>
  <c r="E29" i="4"/>
  <c r="E28" i="4"/>
  <c r="E27" i="4"/>
  <c r="E26" i="4"/>
  <c r="E25" i="4"/>
  <c r="L25" i="4" s="1"/>
  <c r="E24" i="4"/>
  <c r="E10" i="4"/>
  <c r="E15" i="4" s="1"/>
  <c r="E4" i="4"/>
  <c r="C4" i="4"/>
  <c r="L3" i="4" s="1"/>
  <c r="L4" i="4" s="1"/>
  <c r="E56" i="3"/>
  <c r="F56" i="3"/>
  <c r="D56" i="3"/>
  <c r="C58" i="3"/>
  <c r="C59" i="3"/>
  <c r="C57" i="3"/>
  <c r="E22" i="3"/>
  <c r="H22" i="3" s="1"/>
  <c r="G1" i="4"/>
  <c r="H34" i="11"/>
  <c r="L34" i="11" s="1"/>
  <c r="L25" i="11"/>
  <c r="H24" i="11"/>
  <c r="L24" i="11" s="1"/>
  <c r="C13" i="11"/>
  <c r="H34" i="9"/>
  <c r="L34" i="9" s="1"/>
  <c r="E34" i="9"/>
  <c r="H28" i="9"/>
  <c r="L28" i="9" s="1"/>
  <c r="E22" i="9"/>
  <c r="C13" i="9"/>
  <c r="C33" i="9" s="1"/>
  <c r="H28" i="7"/>
  <c r="L28" i="7" s="1"/>
  <c r="H24" i="7"/>
  <c r="L24" i="7" s="1"/>
  <c r="H34" i="5"/>
  <c r="L34" i="5" s="1"/>
  <c r="H29" i="5"/>
  <c r="L29" i="5" s="1"/>
  <c r="H24" i="5"/>
  <c r="L24" i="5" s="1"/>
  <c r="H34" i="3"/>
  <c r="L34" i="3" s="1"/>
  <c r="H31" i="3"/>
  <c r="L31" i="3" s="1"/>
  <c r="H30" i="3"/>
  <c r="L30" i="3" s="1"/>
  <c r="H29" i="3"/>
  <c r="L29" i="3" s="1"/>
  <c r="H28" i="3"/>
  <c r="L28" i="3" s="1"/>
  <c r="H27" i="3"/>
  <c r="L27" i="3" s="1"/>
  <c r="H26" i="3"/>
  <c r="L26" i="3" s="1"/>
  <c r="L25" i="3"/>
  <c r="H24" i="3"/>
  <c r="L24" i="3" s="1"/>
  <c r="H23" i="3"/>
  <c r="L23" i="3" s="1"/>
  <c r="H33" i="12"/>
  <c r="L33" i="12" s="1"/>
  <c r="H23" i="12"/>
  <c r="L23" i="12" s="1"/>
  <c r="E15" i="12"/>
  <c r="H33" i="10"/>
  <c r="L33" i="10" s="1"/>
  <c r="H24" i="10"/>
  <c r="L24" i="10" s="1"/>
  <c r="E15" i="10"/>
  <c r="H33" i="8"/>
  <c r="L33" i="8" s="1"/>
  <c r="E15" i="8"/>
  <c r="E22" i="8"/>
  <c r="H22" i="8" s="1"/>
  <c r="C34" i="6"/>
  <c r="C32" i="6"/>
  <c r="H27" i="6"/>
  <c r="L27" i="6" s="1"/>
  <c r="H24" i="6"/>
  <c r="L24" i="6" s="1"/>
  <c r="C23" i="6"/>
  <c r="H28" i="4"/>
  <c r="L28" i="4" s="1"/>
  <c r="H26" i="4"/>
  <c r="L26" i="4" s="1"/>
  <c r="H24" i="4"/>
  <c r="L24" i="4" s="1"/>
  <c r="E22" i="6" l="1"/>
  <c r="L3" i="11"/>
  <c r="L4" i="11" s="1"/>
  <c r="L11" i="11" s="1"/>
  <c r="C11" i="11"/>
  <c r="H11" i="11" s="1"/>
  <c r="L3" i="9"/>
  <c r="L4" i="9" s="1"/>
  <c r="L10" i="9" s="1"/>
  <c r="C12" i="9"/>
  <c r="H12" i="9" s="1"/>
  <c r="C13" i="7"/>
  <c r="C33" i="7" s="1"/>
  <c r="H33" i="7" s="1"/>
  <c r="L33" i="7" s="1"/>
  <c r="C12" i="7"/>
  <c r="H12" i="7" s="1"/>
  <c r="C11" i="7"/>
  <c r="H11" i="7" s="1"/>
  <c r="H30" i="7"/>
  <c r="L30" i="7" s="1"/>
  <c r="H26" i="7"/>
  <c r="L26" i="7" s="1"/>
  <c r="L3" i="7"/>
  <c r="L4" i="7" s="1"/>
  <c r="C33" i="3"/>
  <c r="H33" i="3" s="1"/>
  <c r="L33" i="3" s="1"/>
  <c r="H29" i="6"/>
  <c r="L29" i="6" s="1"/>
  <c r="L25" i="10"/>
  <c r="C33" i="11"/>
  <c r="H33" i="11" s="1"/>
  <c r="L33" i="11" s="1"/>
  <c r="H13" i="11"/>
  <c r="L3" i="3"/>
  <c r="L4" i="3" s="1"/>
  <c r="L10" i="3" s="1"/>
  <c r="C13" i="5"/>
  <c r="C33" i="5" s="1"/>
  <c r="H24" i="8"/>
  <c r="L24" i="8" s="1"/>
  <c r="E17" i="11"/>
  <c r="L41" i="11" s="1"/>
  <c r="H22" i="9"/>
  <c r="L22" i="9" s="1"/>
  <c r="H34" i="6"/>
  <c r="L34" i="6" s="1"/>
  <c r="H28" i="6"/>
  <c r="L28" i="6" s="1"/>
  <c r="H26" i="8"/>
  <c r="L26" i="8" s="1"/>
  <c r="H27" i="9"/>
  <c r="L27" i="9" s="1"/>
  <c r="H26" i="11"/>
  <c r="L26" i="11" s="1"/>
  <c r="H24" i="12"/>
  <c r="L24" i="12" s="1"/>
  <c r="H27" i="11"/>
  <c r="L27" i="11" s="1"/>
  <c r="H30" i="11"/>
  <c r="L30" i="11" s="1"/>
  <c r="H31" i="11"/>
  <c r="L31" i="11" s="1"/>
  <c r="H12" i="11"/>
  <c r="H26" i="10"/>
  <c r="L26" i="10" s="1"/>
  <c r="H31" i="9"/>
  <c r="L31" i="9" s="1"/>
  <c r="H26" i="9"/>
  <c r="L26" i="9" s="1"/>
  <c r="H29" i="9"/>
  <c r="L29" i="9" s="1"/>
  <c r="H13" i="9"/>
  <c r="H33" i="9"/>
  <c r="L33" i="9" s="1"/>
  <c r="H30" i="8"/>
  <c r="L30" i="8" s="1"/>
  <c r="H27" i="7"/>
  <c r="L27" i="7" s="1"/>
  <c r="H29" i="7"/>
  <c r="L29" i="7" s="1"/>
  <c r="E15" i="7"/>
  <c r="E17" i="7" s="1"/>
  <c r="L41" i="7" s="1"/>
  <c r="H23" i="6"/>
  <c r="L23" i="6" s="1"/>
  <c r="H30" i="6"/>
  <c r="L30" i="6" s="1"/>
  <c r="H26" i="6"/>
  <c r="L26" i="6" s="1"/>
  <c r="H12" i="5"/>
  <c r="L3" i="5"/>
  <c r="L4" i="5" s="1"/>
  <c r="L10" i="5" s="1"/>
  <c r="H33" i="5"/>
  <c r="L33" i="5" s="1"/>
  <c r="H33" i="4"/>
  <c r="L33" i="4" s="1"/>
  <c r="H29" i="4"/>
  <c r="L29" i="4" s="1"/>
  <c r="H23" i="4"/>
  <c r="L23" i="4" s="1"/>
  <c r="H27" i="4"/>
  <c r="L27" i="4" s="1"/>
  <c r="H4" i="4"/>
  <c r="H31" i="4" s="1"/>
  <c r="L31" i="4" s="1"/>
  <c r="L10" i="11"/>
  <c r="L22" i="11"/>
  <c r="C10" i="11"/>
  <c r="H10" i="11" s="1"/>
  <c r="H4" i="11"/>
  <c r="H11" i="9"/>
  <c r="E15" i="9"/>
  <c r="E17" i="9" s="1"/>
  <c r="L41" i="9" s="1"/>
  <c r="C10" i="9"/>
  <c r="H10" i="9" s="1"/>
  <c r="H4" i="9"/>
  <c r="L10" i="7"/>
  <c r="L22" i="7"/>
  <c r="C10" i="7"/>
  <c r="H10" i="7" s="1"/>
  <c r="H4" i="7"/>
  <c r="H11" i="5"/>
  <c r="E15" i="5"/>
  <c r="E17" i="5" s="1"/>
  <c r="L41" i="5" s="1"/>
  <c r="L22" i="5"/>
  <c r="C10" i="5"/>
  <c r="H10" i="5" s="1"/>
  <c r="H4" i="5"/>
  <c r="L41" i="3"/>
  <c r="L22" i="3"/>
  <c r="L11" i="12"/>
  <c r="L10" i="12"/>
  <c r="C10" i="12"/>
  <c r="H10" i="12" s="1"/>
  <c r="E17" i="12"/>
  <c r="L40" i="12" s="1"/>
  <c r="E22" i="12"/>
  <c r="H22" i="12" s="1"/>
  <c r="H4" i="12"/>
  <c r="C13" i="12"/>
  <c r="C12" i="12"/>
  <c r="H12" i="12" s="1"/>
  <c r="C11" i="12"/>
  <c r="H11" i="12" s="1"/>
  <c r="L11" i="10"/>
  <c r="L10" i="10"/>
  <c r="L13" i="10" s="1"/>
  <c r="C10" i="10"/>
  <c r="H10" i="10" s="1"/>
  <c r="C11" i="10"/>
  <c r="H11" i="10" s="1"/>
  <c r="E17" i="10"/>
  <c r="L40" i="10" s="1"/>
  <c r="H22" i="10"/>
  <c r="H4" i="10"/>
  <c r="C13" i="10"/>
  <c r="C12" i="10"/>
  <c r="H12" i="10" s="1"/>
  <c r="L22" i="8"/>
  <c r="E17" i="8"/>
  <c r="L40" i="8" s="1"/>
  <c r="E17" i="6"/>
  <c r="L41" i="6" s="1"/>
  <c r="H22" i="6"/>
  <c r="L11" i="4"/>
  <c r="L10" i="4"/>
  <c r="C12" i="4"/>
  <c r="H12" i="4" s="1"/>
  <c r="C10" i="4"/>
  <c r="H10" i="4" s="1"/>
  <c r="C11" i="4"/>
  <c r="H11" i="4" s="1"/>
  <c r="E17" i="4"/>
  <c r="L40" i="4" s="1"/>
  <c r="E22" i="4"/>
  <c r="H22" i="4" s="1"/>
  <c r="C13" i="4"/>
  <c r="Q5" i="1"/>
  <c r="Q6" i="1"/>
  <c r="Q7" i="1"/>
  <c r="Q8" i="1"/>
  <c r="Q9" i="1"/>
  <c r="Q10" i="1"/>
  <c r="Q11" i="1"/>
  <c r="Q12" i="1"/>
  <c r="Q13" i="1"/>
  <c r="Q14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" i="1"/>
  <c r="L16" i="1"/>
  <c r="L17" i="1"/>
  <c r="L18" i="1"/>
  <c r="L19" i="1"/>
  <c r="L24" i="1"/>
  <c r="L25" i="1"/>
  <c r="L26" i="1"/>
  <c r="L27" i="1"/>
  <c r="L32" i="1"/>
  <c r="L33" i="1"/>
  <c r="L34" i="1"/>
  <c r="L35" i="1"/>
  <c r="L40" i="1"/>
  <c r="L41" i="1"/>
  <c r="L42" i="1"/>
  <c r="L43" i="1"/>
  <c r="L9" i="1"/>
  <c r="L10" i="1"/>
  <c r="L11" i="1"/>
  <c r="L8" i="1"/>
  <c r="L5" i="1"/>
  <c r="L6" i="1"/>
  <c r="L7" i="1"/>
  <c r="L12" i="1"/>
  <c r="L13" i="1"/>
  <c r="L14" i="1"/>
  <c r="L15" i="1"/>
  <c r="L20" i="1"/>
  <c r="L21" i="1"/>
  <c r="L22" i="1"/>
  <c r="L23" i="1"/>
  <c r="L28" i="1"/>
  <c r="L29" i="1"/>
  <c r="L30" i="1"/>
  <c r="L31" i="1"/>
  <c r="L36" i="1"/>
  <c r="L37" i="1"/>
  <c r="L38" i="1"/>
  <c r="L39" i="1"/>
  <c r="L4" i="1"/>
  <c r="H13" i="5" l="1"/>
  <c r="H15" i="5" s="1"/>
  <c r="H17" i="5" s="1"/>
  <c r="L13" i="12"/>
  <c r="L17" i="12" s="1"/>
  <c r="H13" i="7"/>
  <c r="H15" i="7" s="1"/>
  <c r="H17" i="7" s="1"/>
  <c r="H15" i="11"/>
  <c r="H17" i="11" s="1"/>
  <c r="L13" i="11"/>
  <c r="L16" i="11" s="1"/>
  <c r="L11" i="9"/>
  <c r="H15" i="9"/>
  <c r="H17" i="9" s="1"/>
  <c r="L11" i="7"/>
  <c r="L13" i="7" s="1"/>
  <c r="L13" i="4"/>
  <c r="L17" i="4" s="1"/>
  <c r="L11" i="3"/>
  <c r="L13" i="3" s="1"/>
  <c r="H32" i="11"/>
  <c r="H32" i="9"/>
  <c r="L13" i="9"/>
  <c r="H32" i="7"/>
  <c r="H32" i="5"/>
  <c r="L11" i="5"/>
  <c r="L13" i="5" s="1"/>
  <c r="H32" i="3"/>
  <c r="L22" i="12"/>
  <c r="H13" i="12"/>
  <c r="H15" i="12" s="1"/>
  <c r="H17" i="12" s="1"/>
  <c r="C32" i="12"/>
  <c r="H32" i="12" s="1"/>
  <c r="L32" i="12" s="1"/>
  <c r="L16" i="12"/>
  <c r="H31" i="12"/>
  <c r="L31" i="12" s="1"/>
  <c r="L22" i="10"/>
  <c r="H13" i="10"/>
  <c r="H15" i="10" s="1"/>
  <c r="H17" i="10" s="1"/>
  <c r="C32" i="10"/>
  <c r="H32" i="10" s="1"/>
  <c r="L32" i="10" s="1"/>
  <c r="L17" i="10"/>
  <c r="L15" i="10"/>
  <c r="L16" i="10"/>
  <c r="H31" i="10"/>
  <c r="L31" i="10" s="1"/>
  <c r="L22" i="6"/>
  <c r="H13" i="4"/>
  <c r="H15" i="4" s="1"/>
  <c r="H17" i="4" s="1"/>
  <c r="C32" i="4"/>
  <c r="H32" i="4" s="1"/>
  <c r="L32" i="4" s="1"/>
  <c r="L22" i="4"/>
  <c r="D12" i="1"/>
  <c r="J12" i="1" s="1"/>
  <c r="D4" i="1"/>
  <c r="J4" i="1" s="1"/>
  <c r="D5" i="1"/>
  <c r="J5" i="1" s="1"/>
  <c r="D6" i="1"/>
  <c r="J6" i="1" s="1"/>
  <c r="D7" i="1"/>
  <c r="J7" i="1" s="1"/>
  <c r="D8" i="1"/>
  <c r="D9" i="1"/>
  <c r="D10" i="1"/>
  <c r="D11" i="1"/>
  <c r="D13" i="1"/>
  <c r="J13" i="1" s="1"/>
  <c r="D14" i="1"/>
  <c r="J14" i="1" s="1"/>
  <c r="D15" i="1"/>
  <c r="J15" i="1" s="1"/>
  <c r="D16" i="1"/>
  <c r="J16" i="1" s="1"/>
  <c r="D17" i="1"/>
  <c r="J17" i="1" s="1"/>
  <c r="D18" i="1"/>
  <c r="J18" i="1" s="1"/>
  <c r="D19" i="1"/>
  <c r="J19" i="1" s="1"/>
  <c r="D20" i="1"/>
  <c r="J20" i="1" s="1"/>
  <c r="D21" i="1"/>
  <c r="J21" i="1" s="1"/>
  <c r="D22" i="1"/>
  <c r="J22" i="1" s="1"/>
  <c r="D23" i="1"/>
  <c r="J23" i="1" s="1"/>
  <c r="D24" i="1"/>
  <c r="J24" i="1" s="1"/>
  <c r="D25" i="1"/>
  <c r="J25" i="1" s="1"/>
  <c r="D26" i="1"/>
  <c r="J26" i="1" s="1"/>
  <c r="D27" i="1"/>
  <c r="J27" i="1" s="1"/>
  <c r="D29" i="1"/>
  <c r="J29" i="1" s="1"/>
  <c r="D30" i="1"/>
  <c r="J30" i="1" s="1"/>
  <c r="D31" i="1"/>
  <c r="J31" i="1" s="1"/>
  <c r="D32" i="1"/>
  <c r="J32" i="1" s="1"/>
  <c r="D33" i="1"/>
  <c r="J33" i="1" s="1"/>
  <c r="D34" i="1"/>
  <c r="J34" i="1" s="1"/>
  <c r="D35" i="1"/>
  <c r="J35" i="1" s="1"/>
  <c r="D36" i="1"/>
  <c r="J36" i="1" s="1"/>
  <c r="D37" i="1"/>
  <c r="J37" i="1" s="1"/>
  <c r="D38" i="1"/>
  <c r="J38" i="1" s="1"/>
  <c r="D39" i="1"/>
  <c r="J39" i="1" s="1"/>
  <c r="D40" i="1"/>
  <c r="J40" i="1" s="1"/>
  <c r="D41" i="1"/>
  <c r="J41" i="1" s="1"/>
  <c r="D42" i="1"/>
  <c r="J42" i="1" s="1"/>
  <c r="D43" i="1"/>
  <c r="J43" i="1" s="1"/>
  <c r="D28" i="1"/>
  <c r="J28" i="1" s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I39" i="1" l="1"/>
  <c r="K39" i="1"/>
  <c r="I35" i="1"/>
  <c r="K35" i="1"/>
  <c r="I27" i="1"/>
  <c r="K27" i="1"/>
  <c r="I19" i="1"/>
  <c r="Q19" i="1" s="1"/>
  <c r="K19" i="1"/>
  <c r="I11" i="1"/>
  <c r="K11" i="1"/>
  <c r="I42" i="1"/>
  <c r="K42" i="1"/>
  <c r="I34" i="1"/>
  <c r="K34" i="1"/>
  <c r="I26" i="1"/>
  <c r="K26" i="1"/>
  <c r="I14" i="1"/>
  <c r="K14" i="1"/>
  <c r="L15" i="12"/>
  <c r="I37" i="1"/>
  <c r="K37" i="1"/>
  <c r="I33" i="1"/>
  <c r="K33" i="1"/>
  <c r="I25" i="1"/>
  <c r="K25" i="1"/>
  <c r="I21" i="1"/>
  <c r="K21" i="1"/>
  <c r="I13" i="1"/>
  <c r="K13" i="1"/>
  <c r="I9" i="1"/>
  <c r="K9" i="1"/>
  <c r="I5" i="1"/>
  <c r="K5" i="1"/>
  <c r="I40" i="1"/>
  <c r="K40" i="1"/>
  <c r="I36" i="1"/>
  <c r="K36" i="1"/>
  <c r="I32" i="1"/>
  <c r="K32" i="1"/>
  <c r="I28" i="1"/>
  <c r="K28" i="1"/>
  <c r="I24" i="1"/>
  <c r="K24" i="1"/>
  <c r="I20" i="1"/>
  <c r="K20" i="1"/>
  <c r="I16" i="1"/>
  <c r="Q16" i="1" s="1"/>
  <c r="K16" i="1"/>
  <c r="I12" i="1"/>
  <c r="K12" i="1"/>
  <c r="I8" i="1"/>
  <c r="K8" i="1"/>
  <c r="I43" i="1"/>
  <c r="K43" i="1"/>
  <c r="I31" i="1"/>
  <c r="K31" i="1"/>
  <c r="I23" i="1"/>
  <c r="K23" i="1"/>
  <c r="I15" i="1"/>
  <c r="Q15" i="1" s="1"/>
  <c r="K15" i="1"/>
  <c r="I7" i="1"/>
  <c r="K7" i="1"/>
  <c r="I38" i="1"/>
  <c r="K38" i="1"/>
  <c r="I30" i="1"/>
  <c r="K30" i="1"/>
  <c r="I22" i="1"/>
  <c r="K22" i="1"/>
  <c r="I18" i="1"/>
  <c r="Q18" i="1" s="1"/>
  <c r="K18" i="1"/>
  <c r="I10" i="1"/>
  <c r="K10" i="1"/>
  <c r="I6" i="1"/>
  <c r="K6" i="1"/>
  <c r="I41" i="1"/>
  <c r="K41" i="1"/>
  <c r="I29" i="1"/>
  <c r="K29" i="1"/>
  <c r="I17" i="1"/>
  <c r="K17" i="1"/>
  <c r="H37" i="12"/>
  <c r="E57" i="12" s="1"/>
  <c r="H18" i="2" s="1"/>
  <c r="L37" i="12"/>
  <c r="L39" i="12" s="1"/>
  <c r="L42" i="12" s="1"/>
  <c r="L15" i="11"/>
  <c r="L17" i="11"/>
  <c r="L16" i="7"/>
  <c r="L17" i="7"/>
  <c r="L15" i="7"/>
  <c r="H37" i="4"/>
  <c r="L37" i="4"/>
  <c r="L39" i="4" s="1"/>
  <c r="L42" i="4" s="1"/>
  <c r="L16" i="4"/>
  <c r="L15" i="4"/>
  <c r="L16" i="3"/>
  <c r="L15" i="3"/>
  <c r="L17" i="3"/>
  <c r="L32" i="11"/>
  <c r="L38" i="11" s="1"/>
  <c r="L40" i="11" s="1"/>
  <c r="L43" i="11" s="1"/>
  <c r="H38" i="11"/>
  <c r="H43" i="11" s="1"/>
  <c r="I17" i="2" s="1"/>
  <c r="L16" i="9"/>
  <c r="L17" i="9"/>
  <c r="L15" i="9"/>
  <c r="L32" i="9"/>
  <c r="L38" i="9" s="1"/>
  <c r="L40" i="9" s="1"/>
  <c r="L43" i="9" s="1"/>
  <c r="H38" i="9"/>
  <c r="L32" i="7"/>
  <c r="L38" i="7" s="1"/>
  <c r="L40" i="7" s="1"/>
  <c r="L43" i="7" s="1"/>
  <c r="H38" i="7"/>
  <c r="L16" i="5"/>
  <c r="L17" i="5"/>
  <c r="L15" i="5"/>
  <c r="L32" i="5"/>
  <c r="L38" i="5" s="1"/>
  <c r="L40" i="5" s="1"/>
  <c r="L43" i="5" s="1"/>
  <c r="H38" i="5"/>
  <c r="L32" i="3"/>
  <c r="L38" i="3" s="1"/>
  <c r="L40" i="3" s="1"/>
  <c r="L43" i="3" s="1"/>
  <c r="H38" i="3"/>
  <c r="H43" i="3" s="1"/>
  <c r="I5" i="2" s="1"/>
  <c r="H37" i="10"/>
  <c r="D58" i="10" s="1"/>
  <c r="D15" i="2" s="1"/>
  <c r="L37" i="10"/>
  <c r="L39" i="10" s="1"/>
  <c r="L42" i="10" s="1"/>
  <c r="F4" i="1"/>
  <c r="C13" i="8" l="1"/>
  <c r="C11" i="8"/>
  <c r="H11" i="8" s="1"/>
  <c r="L3" i="8"/>
  <c r="L4" i="8" s="1"/>
  <c r="H4" i="8"/>
  <c r="H31" i="8" s="1"/>
  <c r="C12" i="8"/>
  <c r="H12" i="8" s="1"/>
  <c r="C10" i="8"/>
  <c r="H10" i="8" s="1"/>
  <c r="Q17" i="1"/>
  <c r="I4" i="1"/>
  <c r="K4" i="1"/>
  <c r="F50" i="4"/>
  <c r="D56" i="4"/>
  <c r="F6" i="2" s="1"/>
  <c r="F56" i="4"/>
  <c r="G6" i="2" s="1"/>
  <c r="F56" i="12"/>
  <c r="G18" i="2" s="1"/>
  <c r="C45" i="12"/>
  <c r="D57" i="12"/>
  <c r="C47" i="12"/>
  <c r="F57" i="12"/>
  <c r="D58" i="12"/>
  <c r="D18" i="2" s="1"/>
  <c r="H42" i="12"/>
  <c r="I18" i="2" s="1"/>
  <c r="D56" i="12"/>
  <c r="F18" i="2" s="1"/>
  <c r="E58" i="12"/>
  <c r="F50" i="12"/>
  <c r="E56" i="12"/>
  <c r="F58" i="12"/>
  <c r="E18" i="2" s="1"/>
  <c r="E56" i="10"/>
  <c r="E58" i="4"/>
  <c r="E56" i="4"/>
  <c r="D57" i="4"/>
  <c r="C45" i="4"/>
  <c r="D58" i="4"/>
  <c r="D6" i="2" s="1"/>
  <c r="E57" i="4"/>
  <c r="H6" i="2" s="1"/>
  <c r="C47" i="4"/>
  <c r="F58" i="4"/>
  <c r="E6" i="2" s="1"/>
  <c r="H42" i="4"/>
  <c r="I6" i="2" s="1"/>
  <c r="F57" i="4"/>
  <c r="C46" i="11"/>
  <c r="F51" i="11"/>
  <c r="C48" i="11"/>
  <c r="F58" i="11"/>
  <c r="D57" i="11"/>
  <c r="F17" i="2" s="1"/>
  <c r="E57" i="11"/>
  <c r="F57" i="11"/>
  <c r="G17" i="2" s="1"/>
  <c r="F59" i="11"/>
  <c r="E17" i="2" s="1"/>
  <c r="D58" i="11"/>
  <c r="E58" i="11"/>
  <c r="H17" i="2" s="1"/>
  <c r="D59" i="11"/>
  <c r="D17" i="2" s="1"/>
  <c r="E59" i="11"/>
  <c r="F51" i="9"/>
  <c r="C48" i="9"/>
  <c r="C46" i="9"/>
  <c r="F58" i="9"/>
  <c r="E59" i="9"/>
  <c r="D59" i="9"/>
  <c r="D14" i="2" s="1"/>
  <c r="D57" i="9"/>
  <c r="F14" i="2" s="1"/>
  <c r="F57" i="9"/>
  <c r="G14" i="2" s="1"/>
  <c r="E57" i="9"/>
  <c r="E58" i="9"/>
  <c r="H14" i="2" s="1"/>
  <c r="D58" i="9"/>
  <c r="F59" i="9"/>
  <c r="E14" i="2" s="1"/>
  <c r="H43" i="9"/>
  <c r="I14" i="2" s="1"/>
  <c r="F51" i="7"/>
  <c r="C48" i="7"/>
  <c r="C46" i="7"/>
  <c r="F58" i="7"/>
  <c r="F59" i="7"/>
  <c r="E11" i="2" s="1"/>
  <c r="E58" i="7"/>
  <c r="H11" i="2" s="1"/>
  <c r="E59" i="7"/>
  <c r="F57" i="7"/>
  <c r="G11" i="2" s="1"/>
  <c r="D57" i="7"/>
  <c r="F11" i="2" s="1"/>
  <c r="E57" i="7"/>
  <c r="D58" i="7"/>
  <c r="D59" i="7"/>
  <c r="D11" i="2" s="1"/>
  <c r="H43" i="7"/>
  <c r="I11" i="2" s="1"/>
  <c r="F51" i="5"/>
  <c r="C48" i="5"/>
  <c r="C46" i="5"/>
  <c r="E58" i="5"/>
  <c r="H8" i="2" s="1"/>
  <c r="F58" i="5"/>
  <c r="D58" i="5"/>
  <c r="F57" i="5"/>
  <c r="G8" i="2" s="1"/>
  <c r="E59" i="5"/>
  <c r="D57" i="5"/>
  <c r="F8" i="2" s="1"/>
  <c r="F59" i="5"/>
  <c r="E8" i="2" s="1"/>
  <c r="E57" i="5"/>
  <c r="D59" i="5"/>
  <c r="D8" i="2" s="1"/>
  <c r="H43" i="5"/>
  <c r="I8" i="2" s="1"/>
  <c r="C46" i="3"/>
  <c r="F51" i="3"/>
  <c r="C48" i="3"/>
  <c r="E58" i="3"/>
  <c r="H5" i="2" s="1"/>
  <c r="E59" i="3"/>
  <c r="D57" i="3"/>
  <c r="F5" i="2" s="1"/>
  <c r="F58" i="3"/>
  <c r="D59" i="3"/>
  <c r="D5" i="2" s="1"/>
  <c r="D58" i="3"/>
  <c r="F57" i="3"/>
  <c r="G5" i="2" s="1"/>
  <c r="F59" i="3"/>
  <c r="E5" i="2" s="1"/>
  <c r="E57" i="3"/>
  <c r="C45" i="10"/>
  <c r="F50" i="10"/>
  <c r="C47" i="10"/>
  <c r="F57" i="10"/>
  <c r="E57" i="10"/>
  <c r="H15" i="2" s="1"/>
  <c r="D57" i="10"/>
  <c r="E58" i="10"/>
  <c r="F56" i="10"/>
  <c r="G15" i="2" s="1"/>
  <c r="F58" i="10"/>
  <c r="E15" i="2" s="1"/>
  <c r="D56" i="10"/>
  <c r="F15" i="2" s="1"/>
  <c r="H42" i="10"/>
  <c r="I15" i="2" s="1"/>
  <c r="L10" i="8" l="1"/>
  <c r="L11" i="8"/>
  <c r="L31" i="8"/>
  <c r="L3" i="6"/>
  <c r="L4" i="6" s="1"/>
  <c r="C10" i="6"/>
  <c r="H10" i="6" s="1"/>
  <c r="H4" i="6"/>
  <c r="H32" i="6" s="1"/>
  <c r="C11" i="6"/>
  <c r="H11" i="6" s="1"/>
  <c r="C13" i="6"/>
  <c r="C12" i="6"/>
  <c r="H12" i="6" s="1"/>
  <c r="H13" i="8"/>
  <c r="H15" i="8" s="1"/>
  <c r="H17" i="8" s="1"/>
  <c r="C32" i="8"/>
  <c r="H32" i="8" s="1"/>
  <c r="L32" i="8" s="1"/>
  <c r="L13" i="8" l="1"/>
  <c r="L16" i="8" s="1"/>
  <c r="H37" i="8"/>
  <c r="H42" i="8" s="1"/>
  <c r="I12" i="2" s="1"/>
  <c r="L32" i="6"/>
  <c r="H38" i="6"/>
  <c r="L37" i="8"/>
  <c r="C33" i="6"/>
  <c r="H33" i="6" s="1"/>
  <c r="L33" i="6" s="1"/>
  <c r="H13" i="6"/>
  <c r="H15" i="6" s="1"/>
  <c r="H17" i="6" s="1"/>
  <c r="L11" i="6"/>
  <c r="L10" i="6"/>
  <c r="L17" i="8"/>
  <c r="L39" i="8" l="1"/>
  <c r="L42" i="8" s="1"/>
  <c r="L15" i="8"/>
  <c r="D56" i="8"/>
  <c r="F12" i="2" s="1"/>
  <c r="F50" i="8"/>
  <c r="F57" i="8"/>
  <c r="D58" i="8"/>
  <c r="D12" i="2" s="1"/>
  <c r="F58" i="8"/>
  <c r="E12" i="2" s="1"/>
  <c r="C45" i="8"/>
  <c r="F56" i="8"/>
  <c r="G12" i="2" s="1"/>
  <c r="C47" i="8"/>
  <c r="E57" i="8"/>
  <c r="H12" i="2" s="1"/>
  <c r="E56" i="8"/>
  <c r="D57" i="8"/>
  <c r="E58" i="8"/>
  <c r="H43" i="6"/>
  <c r="I9" i="2" s="1"/>
  <c r="L38" i="6"/>
  <c r="L13" i="6"/>
  <c r="E57" i="6"/>
  <c r="C48" i="6"/>
  <c r="F59" i="6"/>
  <c r="E9" i="2" s="1"/>
  <c r="F58" i="6"/>
  <c r="D57" i="6"/>
  <c r="F9" i="2" s="1"/>
  <c r="C46" i="6"/>
  <c r="E58" i="6"/>
  <c r="H9" i="2" s="1"/>
  <c r="E59" i="6"/>
  <c r="F51" i="6"/>
  <c r="D58" i="6"/>
  <c r="D59" i="6"/>
  <c r="D9" i="2" s="1"/>
  <c r="F57" i="6"/>
  <c r="G9" i="2" s="1"/>
  <c r="L17" i="6" l="1"/>
  <c r="L16" i="6"/>
  <c r="L15" i="6"/>
  <c r="L40" i="6"/>
  <c r="L43" i="6" s="1"/>
</calcChain>
</file>

<file path=xl/sharedStrings.xml><?xml version="1.0" encoding="utf-8"?>
<sst xmlns="http://schemas.openxmlformats.org/spreadsheetml/2006/main" count="973" uniqueCount="155">
  <si>
    <t>SAGIT Quality Check</t>
  </si>
  <si>
    <t>Site</t>
  </si>
  <si>
    <t>Variety</t>
  </si>
  <si>
    <t>Weight</t>
  </si>
  <si>
    <t>Test Weight</t>
  </si>
  <si>
    <t>Screenings</t>
  </si>
  <si>
    <t>Screenings %</t>
  </si>
  <si>
    <t>COO</t>
  </si>
  <si>
    <t>Cobra</t>
  </si>
  <si>
    <t>Yawa</t>
  </si>
  <si>
    <t>Trojan</t>
  </si>
  <si>
    <t>Aurora</t>
  </si>
  <si>
    <t>Mace</t>
  </si>
  <si>
    <t>WID802</t>
  </si>
  <si>
    <t>Emu Rock</t>
  </si>
  <si>
    <t>Tamaroi</t>
  </si>
  <si>
    <t>YEE</t>
  </si>
  <si>
    <t>WJ</t>
  </si>
  <si>
    <t>SAN</t>
  </si>
  <si>
    <t>RAC</t>
  </si>
  <si>
    <t>Protein</t>
  </si>
  <si>
    <t>APW</t>
  </si>
  <si>
    <t>Yield</t>
  </si>
  <si>
    <t>Trojan APW</t>
  </si>
  <si>
    <t>TW Grade</t>
  </si>
  <si>
    <t>Screen Grade</t>
  </si>
  <si>
    <t>Protein Grade</t>
  </si>
  <si>
    <t>PAY GRADE</t>
  </si>
  <si>
    <t>H2</t>
  </si>
  <si>
    <t>ASW</t>
  </si>
  <si>
    <t>H1</t>
  </si>
  <si>
    <t>DR3</t>
  </si>
  <si>
    <t>DR2</t>
  </si>
  <si>
    <t>DR1</t>
  </si>
  <si>
    <t>AGP1</t>
  </si>
  <si>
    <t>FED1</t>
  </si>
  <si>
    <t>Gross Income</t>
  </si>
  <si>
    <t>Screened</t>
  </si>
  <si>
    <t>Total Production HA</t>
  </si>
  <si>
    <t>Gross Return</t>
  </si>
  <si>
    <t>Yield t / Ha</t>
  </si>
  <si>
    <t>$ / t</t>
  </si>
  <si>
    <t>$ / Ha</t>
  </si>
  <si>
    <t>Tonnes Produced :</t>
  </si>
  <si>
    <t>Tonnes Sold :</t>
  </si>
  <si>
    <t>Tonnes Retained :</t>
  </si>
  <si>
    <t>Marketing Charges</t>
  </si>
  <si>
    <t>Gross Cash</t>
  </si>
  <si>
    <t>Total Marketing Cost</t>
  </si>
  <si>
    <t>Net Payment</t>
  </si>
  <si>
    <t>Total Charges</t>
  </si>
  <si>
    <t>Harvest Payment</t>
  </si>
  <si>
    <t>Post Harvest</t>
  </si>
  <si>
    <t>Net Price</t>
  </si>
  <si>
    <t>Pool Remaining</t>
  </si>
  <si>
    <t>Variable Costs</t>
  </si>
  <si>
    <t>Quantity</t>
  </si>
  <si>
    <t>Unit</t>
  </si>
  <si>
    <t>$ / Unit</t>
  </si>
  <si>
    <t>$</t>
  </si>
  <si>
    <t>Seed</t>
  </si>
  <si>
    <t>kg / ha</t>
  </si>
  <si>
    <t>$ / kg</t>
  </si>
  <si>
    <t>Seed Dressing</t>
  </si>
  <si>
    <t xml:space="preserve">Fertiliser  </t>
  </si>
  <si>
    <t>$ / T</t>
  </si>
  <si>
    <t>Fertiliser 2</t>
  </si>
  <si>
    <t>l/ha</t>
  </si>
  <si>
    <t>Chemical 1</t>
  </si>
  <si>
    <t>L / ha</t>
  </si>
  <si>
    <t>$ / L</t>
  </si>
  <si>
    <t>Chemical 2</t>
  </si>
  <si>
    <t>Chemical 3</t>
  </si>
  <si>
    <t>Chemical 4</t>
  </si>
  <si>
    <t>Chemical 5</t>
  </si>
  <si>
    <t>Insurance</t>
  </si>
  <si>
    <t>Freight</t>
  </si>
  <si>
    <t>T / ha</t>
  </si>
  <si>
    <t>Fuel</t>
  </si>
  <si>
    <t>Total On Farm Variable Costs :</t>
  </si>
  <si>
    <t>Total Variable Costs :</t>
  </si>
  <si>
    <t>Cash Gross Margin :</t>
  </si>
  <si>
    <t>Plus Grain Retained :</t>
  </si>
  <si>
    <t>Gross Margin / Ha :</t>
  </si>
  <si>
    <t>Total Gross Margin :</t>
  </si>
  <si>
    <t>Break Even Yield :</t>
  </si>
  <si>
    <t>Break Even Price :</t>
  </si>
  <si>
    <t>Sensitivity Analysis</t>
  </si>
  <si>
    <t>( Calculated on</t>
  </si>
  <si>
    <t>variable costs )</t>
  </si>
  <si>
    <t>t / Ha</t>
  </si>
  <si>
    <t>Price $ / t</t>
  </si>
  <si>
    <t>High Yield</t>
  </si>
  <si>
    <t>Average Yield</t>
  </si>
  <si>
    <t>Low Yield</t>
  </si>
  <si>
    <t>mL/Ha</t>
  </si>
  <si>
    <t>Chemical 6</t>
  </si>
  <si>
    <t>Tilt</t>
  </si>
  <si>
    <t>COONALPYN BREAD</t>
  </si>
  <si>
    <t>BREAD / DURUM GROSS MARGIN ANALYSIS</t>
  </si>
  <si>
    <t>COONALPYN DURUM</t>
  </si>
  <si>
    <t>Shows approximate GM/Ha for High, Average and Low yields and prices achieved in trials</t>
  </si>
  <si>
    <t>Coonalpyn</t>
  </si>
  <si>
    <t>Bread</t>
  </si>
  <si>
    <t>Durum</t>
  </si>
  <si>
    <t>Best GM</t>
  </si>
  <si>
    <t>Does not take into account changes to insurance or freight as yield changes - would have a minor effect on GM</t>
  </si>
  <si>
    <t xml:space="preserve">Actual </t>
  </si>
  <si>
    <t xml:space="preserve">Average </t>
  </si>
  <si>
    <t>GM</t>
  </si>
  <si>
    <t>High Price</t>
  </si>
  <si>
    <t>Low Price</t>
  </si>
  <si>
    <t>Roseworthy</t>
  </si>
  <si>
    <t>Sanderston</t>
  </si>
  <si>
    <t>Wandereah</t>
  </si>
  <si>
    <t>Yeelanna</t>
  </si>
  <si>
    <t>MCPA</t>
  </si>
  <si>
    <t>Lontrel</t>
  </si>
  <si>
    <t>Jedi Duo</t>
  </si>
  <si>
    <t>Striker</t>
  </si>
  <si>
    <t>Ultramax</t>
  </si>
  <si>
    <t>UAN</t>
  </si>
  <si>
    <t>DAP</t>
  </si>
  <si>
    <t>Total - Road, Rail</t>
  </si>
  <si>
    <t>and Delivery Fees</t>
  </si>
  <si>
    <t>Total, includes road</t>
  </si>
  <si>
    <t>and rail freight, and</t>
  </si>
  <si>
    <t>delivery / EPR</t>
  </si>
  <si>
    <t>MCPA A</t>
  </si>
  <si>
    <t>ROSEWORTHY BREAD</t>
  </si>
  <si>
    <t>Total - includes rail,</t>
  </si>
  <si>
    <t>road freight and</t>
  </si>
  <si>
    <t>recieval fees</t>
  </si>
  <si>
    <t>$ / 1000L</t>
  </si>
  <si>
    <t>LVE</t>
  </si>
  <si>
    <t>ROSEWORTHY DURUM</t>
  </si>
  <si>
    <t>Cleaning</t>
  </si>
  <si>
    <t>Total - includes road</t>
  </si>
  <si>
    <t>SANDERSTON BREAD</t>
  </si>
  <si>
    <t>delivery fees</t>
  </si>
  <si>
    <t>SANDERSTON DURUM</t>
  </si>
  <si>
    <t>delivery and EPR</t>
  </si>
  <si>
    <t>Total - road freight</t>
  </si>
  <si>
    <t>$/ 1000L</t>
  </si>
  <si>
    <t>WANDEREAH BREAD</t>
  </si>
  <si>
    <t>WANDEREAH DURUM</t>
  </si>
  <si>
    <t xml:space="preserve">freight, delivery fee </t>
  </si>
  <si>
    <t>and EPR</t>
  </si>
  <si>
    <t>YEELANNA BREAD</t>
  </si>
  <si>
    <t>Total - includes road and</t>
  </si>
  <si>
    <t xml:space="preserve">rail freight and delivery </t>
  </si>
  <si>
    <t>YEELANNA DURUM</t>
  </si>
  <si>
    <t xml:space="preserve">Total - includes road </t>
  </si>
  <si>
    <t xml:space="preserve">freight, delivery </t>
  </si>
  <si>
    <t>$/1000L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</si>
</sst>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48"/>
      <name val="Arial"/>
      <family val="2"/>
    </font>
    <font>
      <sz val="10"/>
      <color indexed="12"/>
      <name val="Arial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7" xfId="0" applyBorder="1"/>
    <xf numFmtId="1" fontId="0" fillId="0" borderId="7" xfId="0" applyNumberFormat="1" applyBorder="1"/>
    <xf numFmtId="164" fontId="0" fillId="0" borderId="7" xfId="0" applyNumberFormat="1" applyBorder="1"/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2" xfId="0" applyNumberFormat="1" applyBorder="1"/>
    <xf numFmtId="0" fontId="0" fillId="0" borderId="0" xfId="0" applyBorder="1"/>
    <xf numFmtId="1" fontId="0" fillId="0" borderId="0" xfId="0" applyNumberFormat="1" applyBorder="1"/>
    <xf numFmtId="164" fontId="0" fillId="0" borderId="0" xfId="0" applyNumberForma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4" xfId="0" applyNumberFormat="1" applyBorder="1"/>
    <xf numFmtId="0" fontId="0" fillId="0" borderId="8" xfId="0" applyBorder="1"/>
    <xf numFmtId="1" fontId="0" fillId="0" borderId="8" xfId="0" applyNumberFormat="1" applyBorder="1"/>
    <xf numFmtId="164" fontId="0" fillId="0" borderId="8" xfId="0" applyNumberFormat="1" applyBorder="1"/>
    <xf numFmtId="0" fontId="0" fillId="0" borderId="8" xfId="0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0" fillId="0" borderId="6" xfId="0" applyNumberFormat="1" applyBorder="1"/>
    <xf numFmtId="2" fontId="0" fillId="0" borderId="0" xfId="0" applyNumberFormat="1" applyBorder="1"/>
    <xf numFmtId="2" fontId="0" fillId="0" borderId="8" xfId="0" applyNumberFormat="1" applyBorder="1"/>
    <xf numFmtId="0" fontId="3" fillId="0" borderId="0" xfId="0" applyFont="1" applyBorder="1"/>
    <xf numFmtId="1" fontId="3" fillId="0" borderId="0" xfId="0" applyNumberFormat="1" applyFont="1" applyBorder="1"/>
    <xf numFmtId="1" fontId="4" fillId="0" borderId="8" xfId="0" applyNumberFormat="1" applyFont="1" applyBorder="1"/>
    <xf numFmtId="0" fontId="0" fillId="0" borderId="9" xfId="0" applyBorder="1"/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2" fontId="6" fillId="0" borderId="0" xfId="0" applyNumberFormat="1" applyFont="1"/>
    <xf numFmtId="0" fontId="6" fillId="0" borderId="0" xfId="0" applyFont="1"/>
    <xf numFmtId="9" fontId="0" fillId="0" borderId="0" xfId="1" applyFont="1"/>
    <xf numFmtId="1" fontId="0" fillId="0" borderId="0" xfId="0" applyNumberFormat="1"/>
    <xf numFmtId="20" fontId="0" fillId="0" borderId="0" xfId="0" applyNumberFormat="1"/>
    <xf numFmtId="9" fontId="6" fillId="0" borderId="0" xfId="1" applyFont="1"/>
    <xf numFmtId="164" fontId="0" fillId="0" borderId="0" xfId="0" applyNumberFormat="1"/>
    <xf numFmtId="164" fontId="6" fillId="0" borderId="0" xfId="0" applyNumberFormat="1" applyFont="1"/>
    <xf numFmtId="9" fontId="7" fillId="0" borderId="0" xfId="1" applyFont="1"/>
    <xf numFmtId="0" fontId="7" fillId="0" borderId="0" xfId="0" applyFont="1"/>
    <xf numFmtId="0" fontId="5" fillId="0" borderId="0" xfId="0" applyFont="1" applyAlignment="1">
      <alignment horizontal="right"/>
    </xf>
    <xf numFmtId="2" fontId="0" fillId="0" borderId="0" xfId="0" applyNumberFormat="1"/>
    <xf numFmtId="0" fontId="8" fillId="0" borderId="0" xfId="0" applyFont="1"/>
    <xf numFmtId="0" fontId="1" fillId="0" borderId="0" xfId="0" applyFont="1"/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5" fillId="0" borderId="0" xfId="0" applyNumberFormat="1" applyFont="1"/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1" fontId="5" fillId="0" borderId="0" xfId="0" applyNumberFormat="1" applyFont="1"/>
    <xf numFmtId="0" fontId="9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ofa\users$\users5\a1652455\2014\SITES%202014\BW%20DW%20Gross%20Marg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DURUM"/>
      <sheetName val="BREAD"/>
    </sheetNames>
    <sheetDataSet>
      <sheetData sheetId="0">
        <row r="22">
          <cell r="D22">
            <v>0</v>
          </cell>
        </row>
        <row r="31">
          <cell r="I31">
            <v>0.01</v>
          </cell>
        </row>
        <row r="33">
          <cell r="D33">
            <v>9</v>
          </cell>
          <cell r="I33">
            <v>1.5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abSelected="1" workbookViewId="0">
      <selection activeCell="A2" sqref="A2"/>
    </sheetView>
  </sheetViews>
  <sheetFormatPr defaultRowHeight="15" x14ac:dyDescent="0.25"/>
  <cols>
    <col min="2" max="2" width="18" customWidth="1"/>
    <col min="4" max="4" width="11.5703125" bestFit="1" customWidth="1"/>
    <col min="5" max="5" width="10.5703125" bestFit="1" customWidth="1"/>
    <col min="6" max="6" width="12.5703125" bestFit="1" customWidth="1"/>
    <col min="10" max="10" width="12.28515625" style="7" customWidth="1"/>
    <col min="11" max="11" width="12.7109375" style="7" bestFit="1" customWidth="1"/>
    <col min="12" max="12" width="13.42578125" style="7" bestFit="1" customWidth="1"/>
    <col min="14" max="14" width="9.140625" style="8"/>
  </cols>
  <sheetData>
    <row r="1" spans="1:19" ht="18.75" x14ac:dyDescent="0.3">
      <c r="A1" s="56" t="s">
        <v>0</v>
      </c>
    </row>
    <row r="3" spans="1:19" x14ac:dyDescent="0.2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20</v>
      </c>
      <c r="H3" t="s">
        <v>22</v>
      </c>
      <c r="I3" s="21" t="s">
        <v>37</v>
      </c>
      <c r="J3" s="7" t="s">
        <v>24</v>
      </c>
      <c r="K3" s="7" t="s">
        <v>25</v>
      </c>
      <c r="L3" s="7" t="s">
        <v>26</v>
      </c>
      <c r="N3" s="8" t="s">
        <v>27</v>
      </c>
      <c r="Q3" t="s">
        <v>36</v>
      </c>
    </row>
    <row r="4" spans="1:19" x14ac:dyDescent="0.25">
      <c r="A4" s="1" t="s">
        <v>7</v>
      </c>
      <c r="B4" s="2" t="s">
        <v>8</v>
      </c>
      <c r="C4" s="9">
        <v>400.4</v>
      </c>
      <c r="D4" s="10">
        <f t="shared" ref="D4:D27" si="0">(C4/500)*100</f>
        <v>80.08</v>
      </c>
      <c r="E4" s="9">
        <v>4.2</v>
      </c>
      <c r="F4" s="11">
        <f>E4/C4*100</f>
        <v>1.048951048951049</v>
      </c>
      <c r="G4" s="9">
        <v>12.7</v>
      </c>
      <c r="H4" s="9">
        <v>6.4</v>
      </c>
      <c r="I4" s="27">
        <f t="shared" ref="I4:I10" si="1">IF(F4&gt;5,H4*((105-F4)/100),H4)</f>
        <v>6.4</v>
      </c>
      <c r="J4" s="12" t="str">
        <f>IF(D4&gt;75,"H1",IF(D4&gt;70,"AUH2",IF(D4&gt;67,"AGP1","FED1")))</f>
        <v>H1</v>
      </c>
      <c r="K4" s="12" t="str">
        <f>IF(F4&lt;5,"H1",IF(F4&lt;10,"AUH2","FED1"))</f>
        <v>H1</v>
      </c>
      <c r="L4" s="12" t="str">
        <f>IF(G4&gt;12.9,"H1",IF(G4&gt;11.4,"H2",IF(G4&gt;10.4,"APW","ASW")))</f>
        <v>H2</v>
      </c>
      <c r="M4" s="9"/>
      <c r="N4" s="13" t="s">
        <v>28</v>
      </c>
      <c r="O4" s="9">
        <v>202</v>
      </c>
      <c r="P4" s="9">
        <v>49.92</v>
      </c>
      <c r="Q4" s="14">
        <f>(O4-P4)*H4</f>
        <v>973.3119999999999</v>
      </c>
    </row>
    <row r="5" spans="1:19" x14ac:dyDescent="0.25">
      <c r="A5" s="3"/>
      <c r="B5" s="4" t="s">
        <v>12</v>
      </c>
      <c r="C5" s="15">
        <v>404.8</v>
      </c>
      <c r="D5" s="16">
        <f t="shared" si="0"/>
        <v>80.959999999999994</v>
      </c>
      <c r="E5" s="15">
        <v>2.9</v>
      </c>
      <c r="F5" s="17">
        <f t="shared" ref="F5:F43" si="2">E5/C5*100</f>
        <v>0.71640316205533594</v>
      </c>
      <c r="G5" s="15">
        <v>12.1</v>
      </c>
      <c r="H5" s="15">
        <v>6.6</v>
      </c>
      <c r="I5" s="27">
        <f t="shared" si="1"/>
        <v>6.6</v>
      </c>
      <c r="J5" s="18" t="str">
        <f t="shared" ref="J5:J39" si="3">IF(D5&gt;75,"H1",IF(D5&gt;70,"AUH2",IF(D5&gt;67,"AGP1","FED1")))</f>
        <v>H1</v>
      </c>
      <c r="K5" s="18" t="str">
        <f t="shared" ref="K5:K7" si="4">IF(F5&lt;5,"H1",IF(F5&lt;10,"AUH2","FED1"))</f>
        <v>H1</v>
      </c>
      <c r="L5" s="18" t="str">
        <f t="shared" ref="L5:L7" si="5">IF(G5&gt;12.9,"H1",IF(G5&gt;11.4,"H2",IF(G5&gt;10.4,"APW","ASW")))</f>
        <v>H2</v>
      </c>
      <c r="M5" s="15"/>
      <c r="N5" s="19" t="s">
        <v>28</v>
      </c>
      <c r="O5" s="15">
        <v>202</v>
      </c>
      <c r="P5" s="15">
        <v>49.92</v>
      </c>
      <c r="Q5" s="20">
        <f t="shared" ref="Q5:Q43" si="6">(O5-P5)*H5</f>
        <v>1003.7279999999998</v>
      </c>
    </row>
    <row r="6" spans="1:19" x14ac:dyDescent="0.25">
      <c r="A6" s="3"/>
      <c r="B6" s="4" t="s">
        <v>23</v>
      </c>
      <c r="C6" s="15">
        <v>403.7</v>
      </c>
      <c r="D6" s="16">
        <f t="shared" si="0"/>
        <v>80.739999999999995</v>
      </c>
      <c r="E6" s="15">
        <v>2.8</v>
      </c>
      <c r="F6" s="17">
        <f t="shared" si="2"/>
        <v>0.6935843448105028</v>
      </c>
      <c r="G6" s="15">
        <v>11.6</v>
      </c>
      <c r="H6" s="15">
        <v>7.1</v>
      </c>
      <c r="I6" s="27">
        <f t="shared" si="1"/>
        <v>7.1</v>
      </c>
      <c r="J6" s="18" t="str">
        <f>IF(D6&gt;75,"APW",IF(D6&gt;70,"AUH2",IF(D6&gt;67,"AGP1","FED1")))</f>
        <v>APW</v>
      </c>
      <c r="K6" s="18" t="str">
        <f t="shared" si="4"/>
        <v>H1</v>
      </c>
      <c r="L6" s="18" t="str">
        <f t="shared" si="5"/>
        <v>H2</v>
      </c>
      <c r="M6" s="15"/>
      <c r="N6" s="19" t="s">
        <v>21</v>
      </c>
      <c r="O6" s="15">
        <v>193</v>
      </c>
      <c r="P6" s="15">
        <v>49.92</v>
      </c>
      <c r="Q6" s="20">
        <f t="shared" si="6"/>
        <v>1015.8679999999998</v>
      </c>
    </row>
    <row r="7" spans="1:19" x14ac:dyDescent="0.25">
      <c r="A7" s="3"/>
      <c r="B7" s="4" t="s">
        <v>14</v>
      </c>
      <c r="C7" s="15">
        <v>408.1</v>
      </c>
      <c r="D7" s="16">
        <f t="shared" si="0"/>
        <v>81.62</v>
      </c>
      <c r="E7" s="15">
        <v>8.5</v>
      </c>
      <c r="F7" s="17">
        <f t="shared" si="2"/>
        <v>2.0828228375398186</v>
      </c>
      <c r="G7" s="15">
        <v>13.5</v>
      </c>
      <c r="H7" s="15">
        <v>6.7</v>
      </c>
      <c r="I7" s="27">
        <f t="shared" si="1"/>
        <v>6.7</v>
      </c>
      <c r="J7" s="18" t="str">
        <f t="shared" si="3"/>
        <v>H1</v>
      </c>
      <c r="K7" s="18" t="str">
        <f t="shared" si="4"/>
        <v>H1</v>
      </c>
      <c r="L7" s="18" t="str">
        <f t="shared" si="5"/>
        <v>H1</v>
      </c>
      <c r="M7" s="15"/>
      <c r="N7" s="19" t="s">
        <v>30</v>
      </c>
      <c r="O7" s="15">
        <v>218</v>
      </c>
      <c r="P7" s="15">
        <v>49.92</v>
      </c>
      <c r="Q7" s="20">
        <f t="shared" si="6"/>
        <v>1126.136</v>
      </c>
      <c r="S7" s="47"/>
    </row>
    <row r="8" spans="1:19" x14ac:dyDescent="0.25">
      <c r="A8" s="3"/>
      <c r="B8" s="4" t="s">
        <v>9</v>
      </c>
      <c r="C8" s="15">
        <v>367.3</v>
      </c>
      <c r="D8" s="16">
        <f t="shared" si="0"/>
        <v>73.460000000000008</v>
      </c>
      <c r="E8" s="15">
        <v>6.2</v>
      </c>
      <c r="F8" s="17">
        <f t="shared" si="2"/>
        <v>1.6879934658317453</v>
      </c>
      <c r="G8" s="15">
        <v>12</v>
      </c>
      <c r="H8" s="15">
        <v>6.6</v>
      </c>
      <c r="I8" s="27">
        <f t="shared" si="1"/>
        <v>6.6</v>
      </c>
      <c r="J8" s="18" t="str">
        <f>IF(D8&gt;75,"DR1",IF(D8&gt;70,"DR3",IF(D8&gt;67,"AGP1","FED1")))</f>
        <v>DR3</v>
      </c>
      <c r="K8" s="18" t="str">
        <f>IF(F8&lt;5,"DR1",IF(F8&lt;9.9,"DR3","FED1"))</f>
        <v>DR1</v>
      </c>
      <c r="L8" s="18" t="str">
        <f>IF(G8&gt;12.9,"DR1",IF(G8&gt;11.4,"DR2",IF(G8&gt;9.9,"DR3","FED1")))</f>
        <v>DR2</v>
      </c>
      <c r="M8" s="15"/>
      <c r="N8" s="19" t="s">
        <v>32</v>
      </c>
      <c r="O8" s="15">
        <v>350</v>
      </c>
      <c r="P8" s="15">
        <v>27.35</v>
      </c>
      <c r="Q8" s="20">
        <f t="shared" si="6"/>
        <v>2129.4899999999998</v>
      </c>
    </row>
    <row r="9" spans="1:19" x14ac:dyDescent="0.25">
      <c r="A9" s="3"/>
      <c r="B9" s="4" t="s">
        <v>11</v>
      </c>
      <c r="C9" s="15">
        <v>387.1</v>
      </c>
      <c r="D9" s="16">
        <f t="shared" si="0"/>
        <v>77.42</v>
      </c>
      <c r="E9" s="15">
        <v>4.9000000000000004</v>
      </c>
      <c r="F9" s="17">
        <f t="shared" si="2"/>
        <v>1.2658227848101267</v>
      </c>
      <c r="G9" s="15">
        <v>14.5</v>
      </c>
      <c r="H9" s="15">
        <v>6.3</v>
      </c>
      <c r="I9" s="27">
        <f t="shared" si="1"/>
        <v>6.3</v>
      </c>
      <c r="J9" s="18" t="str">
        <f t="shared" ref="J9:J11" si="7">IF(D9&gt;75,"DR1",IF(D9&gt;70,"DR3",IF(D9&gt;67,"AGP1","FED1")))</f>
        <v>DR1</v>
      </c>
      <c r="K9" s="18" t="str">
        <f t="shared" ref="K9:K43" si="8">IF(F9&lt;5,"DR1",IF(F9&lt;9.9,"DR3","FED1"))</f>
        <v>DR1</v>
      </c>
      <c r="L9" s="18" t="str">
        <f t="shared" ref="L9:L43" si="9">IF(G9&gt;12.9,"DR1",IF(G9&gt;11.4,"DR2",IF(G9&gt;9.9,"DR3","FED1")))</f>
        <v>DR1</v>
      </c>
      <c r="M9" s="15"/>
      <c r="N9" s="19" t="s">
        <v>33</v>
      </c>
      <c r="O9" s="15">
        <v>400</v>
      </c>
      <c r="P9" s="15">
        <v>27.35</v>
      </c>
      <c r="Q9" s="20">
        <f t="shared" si="6"/>
        <v>2347.6949999999997</v>
      </c>
    </row>
    <row r="10" spans="1:19" x14ac:dyDescent="0.25">
      <c r="A10" s="3"/>
      <c r="B10" s="4" t="s">
        <v>13</v>
      </c>
      <c r="C10" s="15">
        <v>374.4</v>
      </c>
      <c r="D10" s="16">
        <f t="shared" si="0"/>
        <v>74.88</v>
      </c>
      <c r="E10" s="15">
        <v>4</v>
      </c>
      <c r="F10" s="17">
        <f t="shared" si="2"/>
        <v>1.0683760683760684</v>
      </c>
      <c r="G10" s="15">
        <v>11.7</v>
      </c>
      <c r="H10" s="15">
        <v>6.3</v>
      </c>
      <c r="I10" s="27">
        <f t="shared" si="1"/>
        <v>6.3</v>
      </c>
      <c r="J10" s="18" t="str">
        <f t="shared" si="7"/>
        <v>DR3</v>
      </c>
      <c r="K10" s="18" t="str">
        <f t="shared" si="8"/>
        <v>DR1</v>
      </c>
      <c r="L10" s="18" t="str">
        <f t="shared" si="9"/>
        <v>DR2</v>
      </c>
      <c r="M10" s="15"/>
      <c r="N10" s="19" t="s">
        <v>32</v>
      </c>
      <c r="O10" s="15">
        <v>350</v>
      </c>
      <c r="P10" s="15">
        <v>27.35</v>
      </c>
      <c r="Q10" s="20">
        <f t="shared" si="6"/>
        <v>2032.6949999999997</v>
      </c>
    </row>
    <row r="11" spans="1:19" x14ac:dyDescent="0.25">
      <c r="A11" s="5"/>
      <c r="B11" s="6" t="s">
        <v>15</v>
      </c>
      <c r="C11" s="21">
        <v>394.2</v>
      </c>
      <c r="D11" s="22">
        <f t="shared" si="0"/>
        <v>78.84</v>
      </c>
      <c r="E11" s="21">
        <v>4.3</v>
      </c>
      <c r="F11" s="23">
        <f t="shared" si="2"/>
        <v>1.0908168442415018</v>
      </c>
      <c r="G11" s="21">
        <v>13.2</v>
      </c>
      <c r="H11" s="21">
        <v>5.5</v>
      </c>
      <c r="I11" s="28">
        <f t="shared" ref="I11:I13" si="10">IF(F11&gt;5,H11*((105-F11)/100),H11)</f>
        <v>5.5</v>
      </c>
      <c r="J11" s="18" t="str">
        <f t="shared" si="7"/>
        <v>DR1</v>
      </c>
      <c r="K11" s="24" t="str">
        <f t="shared" si="8"/>
        <v>DR1</v>
      </c>
      <c r="L11" s="24" t="str">
        <f t="shared" si="9"/>
        <v>DR1</v>
      </c>
      <c r="M11" s="21"/>
      <c r="N11" s="25" t="s">
        <v>33</v>
      </c>
      <c r="O11" s="21">
        <v>400</v>
      </c>
      <c r="P11" s="21">
        <v>27.35</v>
      </c>
      <c r="Q11" s="26">
        <f t="shared" si="6"/>
        <v>2049.5749999999998</v>
      </c>
    </row>
    <row r="12" spans="1:19" x14ac:dyDescent="0.25">
      <c r="A12" s="1" t="s">
        <v>19</v>
      </c>
      <c r="B12" s="2" t="s">
        <v>8</v>
      </c>
      <c r="C12" s="9">
        <v>407.4</v>
      </c>
      <c r="D12" s="10">
        <f t="shared" si="0"/>
        <v>81.47999999999999</v>
      </c>
      <c r="E12" s="9">
        <v>4.8</v>
      </c>
      <c r="F12" s="11">
        <f t="shared" si="2"/>
        <v>1.1782032400589102</v>
      </c>
      <c r="G12" s="9">
        <v>12.3</v>
      </c>
      <c r="H12" s="9">
        <v>6.9</v>
      </c>
      <c r="I12" s="27">
        <f t="shared" si="10"/>
        <v>6.9</v>
      </c>
      <c r="J12" s="12" t="str">
        <f t="shared" si="3"/>
        <v>H1</v>
      </c>
      <c r="K12" s="12" t="str">
        <f>IF(F12&lt;5,"H1",IF(F12&lt;10,"AUH2","FED1"))</f>
        <v>H1</v>
      </c>
      <c r="L12" s="12" t="str">
        <f>IF(G12&gt;12.9,"H1",IF(G12&gt;11.4,"H2",IF(G12&gt;10.4,"APW","ASW")))</f>
        <v>H2</v>
      </c>
      <c r="M12" s="9"/>
      <c r="N12" s="13" t="s">
        <v>28</v>
      </c>
      <c r="O12" s="9">
        <v>217</v>
      </c>
      <c r="P12" s="9">
        <v>29.84</v>
      </c>
      <c r="Q12" s="14">
        <f t="shared" si="6"/>
        <v>1291.404</v>
      </c>
    </row>
    <row r="13" spans="1:19" x14ac:dyDescent="0.25">
      <c r="A13" s="3"/>
      <c r="B13" s="4" t="s">
        <v>12</v>
      </c>
      <c r="C13" s="15">
        <v>393.7</v>
      </c>
      <c r="D13" s="16">
        <f t="shared" si="0"/>
        <v>78.739999999999995</v>
      </c>
      <c r="E13" s="15">
        <v>3.8</v>
      </c>
      <c r="F13" s="17">
        <f t="shared" si="2"/>
        <v>0.96520193040386082</v>
      </c>
      <c r="G13" s="15">
        <v>12</v>
      </c>
      <c r="H13" s="15">
        <v>5.7</v>
      </c>
      <c r="I13" s="27">
        <f t="shared" si="10"/>
        <v>5.7</v>
      </c>
      <c r="J13" s="18" t="str">
        <f t="shared" si="3"/>
        <v>H1</v>
      </c>
      <c r="K13" s="18" t="str">
        <f>IF(F13&lt;5,"H1",IF(F13&lt;10,"AUH2","FED1"))</f>
        <v>H1</v>
      </c>
      <c r="L13" s="18" t="str">
        <f>IF(G13&gt;12.9,"H1",IF(G13&gt;11.4,"H2",IF(G13&gt;10.4,"APW","ASW")))</f>
        <v>H2</v>
      </c>
      <c r="M13" s="15"/>
      <c r="N13" s="19" t="s">
        <v>28</v>
      </c>
      <c r="O13" s="15">
        <v>217</v>
      </c>
      <c r="P13" s="15">
        <v>29.84</v>
      </c>
      <c r="Q13" s="20">
        <f t="shared" si="6"/>
        <v>1066.8120000000001</v>
      </c>
    </row>
    <row r="14" spans="1:19" x14ac:dyDescent="0.25">
      <c r="A14" s="3"/>
      <c r="B14" s="4" t="s">
        <v>10</v>
      </c>
      <c r="C14" s="15">
        <v>420.3</v>
      </c>
      <c r="D14" s="16">
        <f t="shared" si="0"/>
        <v>84.06</v>
      </c>
      <c r="E14" s="15">
        <v>4.3</v>
      </c>
      <c r="F14" s="17">
        <f t="shared" si="2"/>
        <v>1.0230787532714727</v>
      </c>
      <c r="G14" s="15">
        <v>12.5</v>
      </c>
      <c r="H14" s="15">
        <v>7.8</v>
      </c>
      <c r="I14" s="27">
        <f>IF(F14&gt;5,H14*((105-F14)/100),H14)</f>
        <v>7.8</v>
      </c>
      <c r="J14" s="18" t="str">
        <f>IF(D14&gt;75,"APW",IF(D14&gt;70,"AUH2",IF(D14&gt;67,"AGP1","FED1")))</f>
        <v>APW</v>
      </c>
      <c r="K14" s="18" t="str">
        <f>IF(F14&lt;5,"H1",IF(F14&lt;10,"AUH2","FED1"))</f>
        <v>H1</v>
      </c>
      <c r="L14" s="18" t="str">
        <f>IF(G14&gt;12.9,"H1",IF(G14&gt;11.4,"H2",IF(G14&gt;10.4,"APW","ASW")))</f>
        <v>H2</v>
      </c>
      <c r="M14" s="15"/>
      <c r="N14" s="19" t="s">
        <v>21</v>
      </c>
      <c r="O14" s="15">
        <v>208</v>
      </c>
      <c r="P14" s="15">
        <v>29.84</v>
      </c>
      <c r="Q14" s="20">
        <f t="shared" si="6"/>
        <v>1389.6479999999999</v>
      </c>
    </row>
    <row r="15" spans="1:19" x14ac:dyDescent="0.25">
      <c r="A15" s="3"/>
      <c r="B15" s="4" t="s">
        <v>14</v>
      </c>
      <c r="C15" s="15">
        <v>406.8</v>
      </c>
      <c r="D15" s="16">
        <f t="shared" si="0"/>
        <v>81.36</v>
      </c>
      <c r="E15" s="15">
        <v>11.7</v>
      </c>
      <c r="F15" s="17">
        <f t="shared" si="2"/>
        <v>2.8761061946902653</v>
      </c>
      <c r="G15" s="15">
        <v>13.3</v>
      </c>
      <c r="H15" s="15">
        <v>5.5</v>
      </c>
      <c r="I15" s="27">
        <f>IF(F15&gt;5,H15*((105-F15)/100),H15)</f>
        <v>5.5</v>
      </c>
      <c r="J15" s="18" t="str">
        <f t="shared" si="3"/>
        <v>H1</v>
      </c>
      <c r="K15" s="18" t="str">
        <f>IF(F15&lt;5,"H1",IF(F15&lt;10,"AUH2","FED1"))</f>
        <v>H1</v>
      </c>
      <c r="L15" s="18" t="str">
        <f>IF(G15&gt;12.9,"H1",IF(G15&gt;11.4,"H2",IF(G15&gt;10.4,"APW","ASW")))</f>
        <v>H1</v>
      </c>
      <c r="M15" s="15"/>
      <c r="N15" s="19" t="s">
        <v>30</v>
      </c>
      <c r="O15" s="15">
        <v>233</v>
      </c>
      <c r="P15" s="15">
        <v>29.84</v>
      </c>
      <c r="Q15" s="20">
        <f>(O15-P15)*I15</f>
        <v>1117.3799999999999</v>
      </c>
    </row>
    <row r="16" spans="1:19" x14ac:dyDescent="0.25">
      <c r="A16" s="3"/>
      <c r="B16" s="4" t="s">
        <v>9</v>
      </c>
      <c r="C16" s="15">
        <v>395.4</v>
      </c>
      <c r="D16" s="16">
        <f t="shared" si="0"/>
        <v>79.08</v>
      </c>
      <c r="E16" s="15">
        <v>4.8</v>
      </c>
      <c r="F16" s="17">
        <f t="shared" si="2"/>
        <v>1.2139605462822458</v>
      </c>
      <c r="G16" s="15">
        <v>13.6</v>
      </c>
      <c r="H16" s="15">
        <v>7.1</v>
      </c>
      <c r="I16" s="27">
        <f t="shared" ref="I16:I43" si="11">IF(F16&gt;5,H16*((105-F16)/100),H16)</f>
        <v>7.1</v>
      </c>
      <c r="J16" s="18" t="str">
        <f>IF(D16&gt;75,"DR1",IF(D16&gt;70,"ADR3",IF(D16&gt;67,"AGP1","FED1")))</f>
        <v>DR1</v>
      </c>
      <c r="K16" s="18" t="str">
        <f t="shared" si="8"/>
        <v>DR1</v>
      </c>
      <c r="L16" s="18" t="str">
        <f t="shared" si="9"/>
        <v>DR1</v>
      </c>
      <c r="M16" s="15"/>
      <c r="N16" s="19" t="s">
        <v>33</v>
      </c>
      <c r="O16" s="15">
        <v>400</v>
      </c>
      <c r="P16" s="15">
        <v>32</v>
      </c>
      <c r="Q16" s="20">
        <f t="shared" ref="Q16:Q19" si="12">(O16-P16)*I16</f>
        <v>2612.7999999999997</v>
      </c>
    </row>
    <row r="17" spans="1:17" x14ac:dyDescent="0.25">
      <c r="A17" s="3"/>
      <c r="B17" s="4" t="s">
        <v>11</v>
      </c>
      <c r="C17" s="15">
        <v>409.1</v>
      </c>
      <c r="D17" s="16">
        <f t="shared" si="0"/>
        <v>81.820000000000007</v>
      </c>
      <c r="E17" s="15">
        <v>7</v>
      </c>
      <c r="F17" s="17">
        <f t="shared" si="2"/>
        <v>1.7110730872647275</v>
      </c>
      <c r="G17" s="15">
        <v>14.3</v>
      </c>
      <c r="H17" s="15">
        <v>7.1</v>
      </c>
      <c r="I17" s="27">
        <f t="shared" si="11"/>
        <v>7.1</v>
      </c>
      <c r="J17" s="18" t="str">
        <f t="shared" ref="J17:J19" si="13">IF(D17&gt;75,"DR1",IF(D17&gt;70,"ADR3",IF(D17&gt;67,"AGP1","FED1")))</f>
        <v>DR1</v>
      </c>
      <c r="K17" s="18" t="str">
        <f t="shared" si="8"/>
        <v>DR1</v>
      </c>
      <c r="L17" s="18" t="str">
        <f t="shared" si="9"/>
        <v>DR1</v>
      </c>
      <c r="M17" s="15"/>
      <c r="N17" s="19" t="s">
        <v>33</v>
      </c>
      <c r="O17" s="15">
        <v>400</v>
      </c>
      <c r="P17" s="15">
        <v>32</v>
      </c>
      <c r="Q17" s="20">
        <f t="shared" si="12"/>
        <v>2612.7999999999997</v>
      </c>
    </row>
    <row r="18" spans="1:17" x14ac:dyDescent="0.25">
      <c r="A18" s="3"/>
      <c r="B18" s="4" t="s">
        <v>13</v>
      </c>
      <c r="C18" s="15">
        <v>390.5</v>
      </c>
      <c r="D18" s="16">
        <f t="shared" si="0"/>
        <v>78.100000000000009</v>
      </c>
      <c r="E18" s="15">
        <v>7.4</v>
      </c>
      <c r="F18" s="17">
        <f t="shared" si="2"/>
        <v>1.8950064020486557</v>
      </c>
      <c r="G18" s="15">
        <v>13.7</v>
      </c>
      <c r="H18" s="15">
        <v>7.3</v>
      </c>
      <c r="I18" s="27">
        <f t="shared" si="11"/>
        <v>7.3</v>
      </c>
      <c r="J18" s="18" t="str">
        <f t="shared" si="13"/>
        <v>DR1</v>
      </c>
      <c r="K18" s="18" t="str">
        <f t="shared" si="8"/>
        <v>DR1</v>
      </c>
      <c r="L18" s="18" t="str">
        <f t="shared" si="9"/>
        <v>DR1</v>
      </c>
      <c r="M18" s="15"/>
      <c r="N18" s="19" t="s">
        <v>33</v>
      </c>
      <c r="O18" s="15">
        <v>400</v>
      </c>
      <c r="P18" s="15">
        <v>32</v>
      </c>
      <c r="Q18" s="20">
        <f t="shared" si="12"/>
        <v>2686.4</v>
      </c>
    </row>
    <row r="19" spans="1:17" x14ac:dyDescent="0.25">
      <c r="A19" s="5"/>
      <c r="B19" s="6" t="s">
        <v>15</v>
      </c>
      <c r="C19" s="21">
        <v>409.2</v>
      </c>
      <c r="D19" s="22">
        <f t="shared" si="0"/>
        <v>81.84</v>
      </c>
      <c r="E19" s="21">
        <v>6.2</v>
      </c>
      <c r="F19" s="23">
        <f t="shared" si="2"/>
        <v>1.5151515151515151</v>
      </c>
      <c r="G19" s="21">
        <v>15.2</v>
      </c>
      <c r="H19" s="21">
        <v>6</v>
      </c>
      <c r="I19" s="28">
        <f t="shared" si="11"/>
        <v>6</v>
      </c>
      <c r="J19" s="24" t="str">
        <f t="shared" si="13"/>
        <v>DR1</v>
      </c>
      <c r="K19" s="24" t="str">
        <f t="shared" si="8"/>
        <v>DR1</v>
      </c>
      <c r="L19" s="24" t="str">
        <f t="shared" si="9"/>
        <v>DR1</v>
      </c>
      <c r="M19" s="21"/>
      <c r="N19" s="25" t="s">
        <v>33</v>
      </c>
      <c r="O19" s="21">
        <v>400</v>
      </c>
      <c r="P19" s="21">
        <v>32</v>
      </c>
      <c r="Q19" s="26">
        <f t="shared" si="12"/>
        <v>2208</v>
      </c>
    </row>
    <row r="20" spans="1:17" x14ac:dyDescent="0.25">
      <c r="A20" s="1" t="s">
        <v>18</v>
      </c>
      <c r="B20" s="2" t="s">
        <v>8</v>
      </c>
      <c r="C20" s="9">
        <v>396.5</v>
      </c>
      <c r="D20" s="10">
        <f t="shared" si="0"/>
        <v>79.3</v>
      </c>
      <c r="E20" s="9">
        <v>4.0999999999999996</v>
      </c>
      <c r="F20" s="11">
        <f t="shared" si="2"/>
        <v>1.0340479192938208</v>
      </c>
      <c r="G20" s="9">
        <v>13.4</v>
      </c>
      <c r="H20" s="9">
        <v>5.9</v>
      </c>
      <c r="I20" s="27">
        <f t="shared" si="11"/>
        <v>5.9</v>
      </c>
      <c r="J20" s="12" t="str">
        <f t="shared" si="3"/>
        <v>H1</v>
      </c>
      <c r="K20" s="12" t="str">
        <f>IF(F20&lt;5,"H1",IF(E20&lt;10,"AUH2","FED1"))</f>
        <v>H1</v>
      </c>
      <c r="L20" s="12" t="str">
        <f>IF(G20&gt;12.9,"H1",IF(G20&gt;11.4,"H2",IF(G20&gt;10.4,"APW","ASW")))</f>
        <v>H1</v>
      </c>
      <c r="M20" s="9"/>
      <c r="N20" s="13" t="s">
        <v>30</v>
      </c>
      <c r="O20" s="9">
        <v>227</v>
      </c>
      <c r="P20" s="9">
        <v>19.45</v>
      </c>
      <c r="Q20" s="14">
        <f t="shared" si="6"/>
        <v>1224.5450000000001</v>
      </c>
    </row>
    <row r="21" spans="1:17" x14ac:dyDescent="0.25">
      <c r="A21" s="3"/>
      <c r="B21" s="4" t="s">
        <v>12</v>
      </c>
      <c r="C21" s="15">
        <v>387.5</v>
      </c>
      <c r="D21" s="16">
        <f t="shared" si="0"/>
        <v>77.5</v>
      </c>
      <c r="E21" s="15">
        <v>3.4</v>
      </c>
      <c r="F21" s="17">
        <f t="shared" si="2"/>
        <v>0.87741935483870959</v>
      </c>
      <c r="G21" s="15">
        <v>12.5</v>
      </c>
      <c r="H21" s="15">
        <v>5.7</v>
      </c>
      <c r="I21" s="27">
        <f t="shared" si="11"/>
        <v>5.7</v>
      </c>
      <c r="J21" s="18" t="str">
        <f t="shared" si="3"/>
        <v>H1</v>
      </c>
      <c r="K21" s="18" t="str">
        <f>IF(F21&lt;5,"H1",IF(F21&lt;10,"AUH2","FED1"))</f>
        <v>H1</v>
      </c>
      <c r="L21" s="18" t="str">
        <f>IF(G21&gt;12.9,"H1",IF(G21&gt;11.4,"H2",IF(G21&gt;10.4,"APW","ASW")))</f>
        <v>H2</v>
      </c>
      <c r="M21" s="15"/>
      <c r="N21" s="19" t="s">
        <v>28</v>
      </c>
      <c r="O21" s="15">
        <v>211</v>
      </c>
      <c r="P21" s="15">
        <v>19.45</v>
      </c>
      <c r="Q21" s="20">
        <f t="shared" si="6"/>
        <v>1091.835</v>
      </c>
    </row>
    <row r="22" spans="1:17" x14ac:dyDescent="0.25">
      <c r="A22" s="3"/>
      <c r="B22" s="4" t="s">
        <v>10</v>
      </c>
      <c r="C22" s="15">
        <v>391.2</v>
      </c>
      <c r="D22" s="16">
        <f t="shared" si="0"/>
        <v>78.239999999999995</v>
      </c>
      <c r="E22" s="15">
        <v>4.9000000000000004</v>
      </c>
      <c r="F22" s="17">
        <f t="shared" si="2"/>
        <v>1.2525562372188139</v>
      </c>
      <c r="G22" s="15">
        <v>13.1</v>
      </c>
      <c r="H22" s="15">
        <v>6</v>
      </c>
      <c r="I22" s="27">
        <f t="shared" si="11"/>
        <v>6</v>
      </c>
      <c r="J22" s="18" t="str">
        <f>IF(D22&gt;75,"APW",IF(D22&gt;70,"AUH2",IF(D22&gt;67,"AGP1","FED1")))</f>
        <v>APW</v>
      </c>
      <c r="K22" s="18" t="str">
        <f>IF(F22&lt;5,"H1",IF(F22&lt;10,"AUH2","FED1"))</f>
        <v>H1</v>
      </c>
      <c r="L22" s="18" t="str">
        <f>IF(G22&gt;12.9,"H1",IF(G22&gt;11.4,"H2",IF(G22&gt;10.4,"APW","ASW")))</f>
        <v>H1</v>
      </c>
      <c r="M22" s="15"/>
      <c r="N22" s="19" t="s">
        <v>21</v>
      </c>
      <c r="O22" s="15">
        <v>202</v>
      </c>
      <c r="P22" s="15">
        <v>19.45</v>
      </c>
      <c r="Q22" s="20">
        <f t="shared" si="6"/>
        <v>1095.3000000000002</v>
      </c>
    </row>
    <row r="23" spans="1:17" x14ac:dyDescent="0.25">
      <c r="A23" s="3"/>
      <c r="B23" s="4" t="s">
        <v>14</v>
      </c>
      <c r="C23" s="15">
        <v>411.1</v>
      </c>
      <c r="D23" s="16">
        <f t="shared" si="0"/>
        <v>82.22</v>
      </c>
      <c r="E23" s="15">
        <v>6.4</v>
      </c>
      <c r="F23" s="17">
        <f t="shared" si="2"/>
        <v>1.5567988324008757</v>
      </c>
      <c r="G23" s="15">
        <v>14.1</v>
      </c>
      <c r="H23" s="15">
        <v>6.1</v>
      </c>
      <c r="I23" s="27">
        <f t="shared" si="11"/>
        <v>6.1</v>
      </c>
      <c r="J23" s="18" t="str">
        <f t="shared" si="3"/>
        <v>H1</v>
      </c>
      <c r="K23" s="18" t="str">
        <f>IF(F23&lt;5,"H1",IF(F23&lt;10,"AUH2","FED1"))</f>
        <v>H1</v>
      </c>
      <c r="L23" s="18" t="str">
        <f>IF(G23&gt;12.9,"H1",IF(G23&gt;11.4,"H2",IF(G23&gt;10.4,"APW","ASW")))</f>
        <v>H1</v>
      </c>
      <c r="M23" s="15"/>
      <c r="N23" s="19" t="s">
        <v>30</v>
      </c>
      <c r="O23" s="15">
        <v>227</v>
      </c>
      <c r="P23" s="15">
        <v>19.45</v>
      </c>
      <c r="Q23" s="20">
        <f t="shared" si="6"/>
        <v>1266.0550000000001</v>
      </c>
    </row>
    <row r="24" spans="1:17" x14ac:dyDescent="0.25">
      <c r="A24" s="3"/>
      <c r="B24" s="4" t="s">
        <v>9</v>
      </c>
      <c r="C24" s="15">
        <v>324.89999999999998</v>
      </c>
      <c r="D24" s="16">
        <f t="shared" si="0"/>
        <v>64.97999999999999</v>
      </c>
      <c r="E24" s="15">
        <v>23.1</v>
      </c>
      <c r="F24" s="17">
        <f t="shared" si="2"/>
        <v>7.10987996306556</v>
      </c>
      <c r="G24" s="15">
        <v>15.1</v>
      </c>
      <c r="H24" s="15">
        <v>4</v>
      </c>
      <c r="I24" s="27">
        <f t="shared" si="11"/>
        <v>3.9156048014773774</v>
      </c>
      <c r="J24" s="18" t="str">
        <f>IF(D24&gt;75,"DR1",IF(D24&gt;70,"DR3",IF(D24&gt;67,"AGP1","FED1")))</f>
        <v>FED1</v>
      </c>
      <c r="K24" s="18" t="str">
        <f t="shared" si="8"/>
        <v>DR3</v>
      </c>
      <c r="L24" s="18" t="str">
        <f t="shared" si="9"/>
        <v>DR1</v>
      </c>
      <c r="M24" s="15"/>
      <c r="N24" s="19" t="s">
        <v>35</v>
      </c>
      <c r="O24" s="15">
        <v>153</v>
      </c>
      <c r="P24" s="15">
        <v>32.15</v>
      </c>
      <c r="Q24" s="20">
        <f t="shared" si="6"/>
        <v>483.4</v>
      </c>
    </row>
    <row r="25" spans="1:17" x14ac:dyDescent="0.25">
      <c r="A25" s="3"/>
      <c r="B25" s="4" t="s">
        <v>11</v>
      </c>
      <c r="C25" s="15">
        <v>386.8</v>
      </c>
      <c r="D25" s="16">
        <f t="shared" si="0"/>
        <v>77.360000000000014</v>
      </c>
      <c r="E25" s="15">
        <v>6.8</v>
      </c>
      <c r="F25" s="17">
        <f t="shared" si="2"/>
        <v>1.7580144777662874</v>
      </c>
      <c r="G25" s="15">
        <v>14.9</v>
      </c>
      <c r="H25" s="15">
        <v>4.3</v>
      </c>
      <c r="I25" s="27">
        <f t="shared" si="11"/>
        <v>4.3</v>
      </c>
      <c r="J25" s="18" t="str">
        <f t="shared" ref="J25:J27" si="14">IF(D25&gt;75,"DR1",IF(D25&gt;70,"DR3",IF(D25&gt;67,"AGP1","FED1")))</f>
        <v>DR1</v>
      </c>
      <c r="K25" s="18" t="str">
        <f t="shared" si="8"/>
        <v>DR1</v>
      </c>
      <c r="L25" s="18" t="str">
        <f t="shared" si="9"/>
        <v>DR1</v>
      </c>
      <c r="M25" s="15"/>
      <c r="N25" s="19" t="s">
        <v>33</v>
      </c>
      <c r="O25" s="15">
        <v>400</v>
      </c>
      <c r="P25" s="15">
        <v>32.15</v>
      </c>
      <c r="Q25" s="20">
        <f t="shared" si="6"/>
        <v>1581.7550000000001</v>
      </c>
    </row>
    <row r="26" spans="1:17" x14ac:dyDescent="0.25">
      <c r="A26" s="3"/>
      <c r="B26" s="4" t="s">
        <v>13</v>
      </c>
      <c r="C26" s="15">
        <v>373.9</v>
      </c>
      <c r="D26" s="16">
        <f t="shared" si="0"/>
        <v>74.779999999999987</v>
      </c>
      <c r="E26" s="15">
        <v>12.4</v>
      </c>
      <c r="F26" s="17">
        <f t="shared" si="2"/>
        <v>3.3163947579566733</v>
      </c>
      <c r="G26" s="15">
        <v>14.2</v>
      </c>
      <c r="H26" s="15">
        <v>4.3</v>
      </c>
      <c r="I26" s="27">
        <f t="shared" si="11"/>
        <v>4.3</v>
      </c>
      <c r="J26" s="18" t="str">
        <f t="shared" si="14"/>
        <v>DR3</v>
      </c>
      <c r="K26" s="18" t="str">
        <f t="shared" si="8"/>
        <v>DR1</v>
      </c>
      <c r="L26" s="18" t="str">
        <f t="shared" si="9"/>
        <v>DR1</v>
      </c>
      <c r="M26" s="15"/>
      <c r="N26" s="19" t="s">
        <v>33</v>
      </c>
      <c r="O26" s="15">
        <v>400</v>
      </c>
      <c r="P26" s="15">
        <v>32.15</v>
      </c>
      <c r="Q26" s="20">
        <f t="shared" si="6"/>
        <v>1581.7550000000001</v>
      </c>
    </row>
    <row r="27" spans="1:17" x14ac:dyDescent="0.25">
      <c r="A27" s="5"/>
      <c r="B27" s="6" t="s">
        <v>15</v>
      </c>
      <c r="C27" s="21">
        <v>365.4</v>
      </c>
      <c r="D27" s="22">
        <f t="shared" si="0"/>
        <v>73.08</v>
      </c>
      <c r="E27" s="21">
        <v>10.5</v>
      </c>
      <c r="F27" s="23">
        <f t="shared" si="2"/>
        <v>2.8735632183908049</v>
      </c>
      <c r="G27" s="21">
        <v>14.4</v>
      </c>
      <c r="H27" s="21">
        <v>4.2</v>
      </c>
      <c r="I27" s="28">
        <f t="shared" si="11"/>
        <v>4.2</v>
      </c>
      <c r="J27" s="24" t="str">
        <f t="shared" si="14"/>
        <v>DR3</v>
      </c>
      <c r="K27" s="24" t="str">
        <f t="shared" si="8"/>
        <v>DR1</v>
      </c>
      <c r="L27" s="24" t="str">
        <f t="shared" si="9"/>
        <v>DR1</v>
      </c>
      <c r="M27" s="21"/>
      <c r="N27" s="25" t="s">
        <v>33</v>
      </c>
      <c r="O27" s="21">
        <v>400</v>
      </c>
      <c r="P27" s="21">
        <v>32.15</v>
      </c>
      <c r="Q27" s="26">
        <f t="shared" si="6"/>
        <v>1544.9700000000003</v>
      </c>
    </row>
    <row r="28" spans="1:17" x14ac:dyDescent="0.25">
      <c r="A28" s="1" t="s">
        <v>17</v>
      </c>
      <c r="B28" s="2" t="s">
        <v>8</v>
      </c>
      <c r="C28" s="9">
        <v>410.3</v>
      </c>
      <c r="D28" s="10">
        <f>(C28/500)*100</f>
        <v>82.06</v>
      </c>
      <c r="E28" s="9">
        <v>2.27</v>
      </c>
      <c r="F28" s="11">
        <f t="shared" si="2"/>
        <v>0.55325371679259083</v>
      </c>
      <c r="G28" s="9">
        <v>15.1</v>
      </c>
      <c r="H28" s="9">
        <v>4.9000000000000004</v>
      </c>
      <c r="I28" s="27">
        <f t="shared" si="11"/>
        <v>4.9000000000000004</v>
      </c>
      <c r="J28" s="12" t="str">
        <f t="shared" si="3"/>
        <v>H1</v>
      </c>
      <c r="K28" s="12" t="str">
        <f>IF(F28&lt;5,"H1",IF(F28&lt;10,"AUH2","FED1"))</f>
        <v>H1</v>
      </c>
      <c r="L28" s="12" t="str">
        <f>IF(G28&gt;12.9,"H1",IF(G28&gt;11.4,"H2",IF(G28&gt;10.4,"APW","ASW")))</f>
        <v>H1</v>
      </c>
      <c r="M28" s="9"/>
      <c r="N28" s="13" t="s">
        <v>30</v>
      </c>
      <c r="O28" s="9">
        <v>226</v>
      </c>
      <c r="P28" s="9">
        <v>35.67</v>
      </c>
      <c r="Q28" s="14">
        <f t="shared" si="6"/>
        <v>932.61699999999996</v>
      </c>
    </row>
    <row r="29" spans="1:17" x14ac:dyDescent="0.25">
      <c r="A29" s="3"/>
      <c r="B29" s="4" t="s">
        <v>12</v>
      </c>
      <c r="C29" s="15">
        <v>395.3</v>
      </c>
      <c r="D29" s="16">
        <f t="shared" ref="D29:D43" si="15">(C29/500)*100</f>
        <v>79.06</v>
      </c>
      <c r="E29" s="15">
        <v>1.5</v>
      </c>
      <c r="F29" s="17">
        <f t="shared" si="2"/>
        <v>0.37945863900834809</v>
      </c>
      <c r="G29" s="15">
        <v>14.8</v>
      </c>
      <c r="H29" s="15">
        <v>3.9</v>
      </c>
      <c r="I29" s="27">
        <f t="shared" si="11"/>
        <v>3.9</v>
      </c>
      <c r="J29" s="18" t="str">
        <f t="shared" si="3"/>
        <v>H1</v>
      </c>
      <c r="K29" s="18" t="str">
        <f>IF(F29&lt;5,"H1",IF(F29&lt;10,"AUH2","FED1"))</f>
        <v>H1</v>
      </c>
      <c r="L29" s="18" t="str">
        <f>IF(G29&gt;12.9,"H1",IF(G29&gt;11.4,"H2",IF(G29&gt;10.4,"APW","ASW")))</f>
        <v>H1</v>
      </c>
      <c r="M29" s="15"/>
      <c r="N29" s="19" t="s">
        <v>30</v>
      </c>
      <c r="O29" s="15">
        <v>226</v>
      </c>
      <c r="P29" s="15">
        <v>35.67</v>
      </c>
      <c r="Q29" s="20">
        <f t="shared" si="6"/>
        <v>742.28699999999992</v>
      </c>
    </row>
    <row r="30" spans="1:17" x14ac:dyDescent="0.25">
      <c r="A30" s="3"/>
      <c r="B30" s="4" t="s">
        <v>10</v>
      </c>
      <c r="C30" s="15">
        <v>407</v>
      </c>
      <c r="D30" s="16">
        <f t="shared" si="15"/>
        <v>81.399999999999991</v>
      </c>
      <c r="E30" s="15">
        <v>0.87</v>
      </c>
      <c r="F30" s="17">
        <f t="shared" si="2"/>
        <v>0.21375921375921375</v>
      </c>
      <c r="G30" s="15">
        <v>14.5</v>
      </c>
      <c r="H30" s="15">
        <v>4.5</v>
      </c>
      <c r="I30" s="27">
        <f t="shared" si="11"/>
        <v>4.5</v>
      </c>
      <c r="J30" s="18" t="str">
        <f>IF(D30&gt;75,"APW",IF(D30&gt;70,"AUH2",IF(D30&gt;67,"AGP1","FED1")))</f>
        <v>APW</v>
      </c>
      <c r="K30" s="18" t="str">
        <f>IF(F30&lt;5,"H1",IF(F30&lt;10,"AUH2","FED1"))</f>
        <v>H1</v>
      </c>
      <c r="L30" s="18" t="str">
        <f>IF(G30&gt;12.9,"H1",IF(G30&gt;11.4,"H2",IF(G30&gt;10.4,"APW","ASW")))</f>
        <v>H1</v>
      </c>
      <c r="M30" s="15"/>
      <c r="N30" s="19" t="s">
        <v>21</v>
      </c>
      <c r="O30" s="15">
        <v>201</v>
      </c>
      <c r="P30" s="15">
        <v>35.67</v>
      </c>
      <c r="Q30" s="20">
        <f t="shared" si="6"/>
        <v>743.9849999999999</v>
      </c>
    </row>
    <row r="31" spans="1:17" x14ac:dyDescent="0.25">
      <c r="A31" s="3"/>
      <c r="B31" s="4" t="s">
        <v>14</v>
      </c>
      <c r="C31" s="15">
        <v>400.7</v>
      </c>
      <c r="D31" s="16">
        <f t="shared" si="15"/>
        <v>80.14</v>
      </c>
      <c r="E31" s="15">
        <v>7.23</v>
      </c>
      <c r="F31" s="17">
        <f t="shared" si="2"/>
        <v>1.8043424007986026</v>
      </c>
      <c r="G31" s="15">
        <v>14.9</v>
      </c>
      <c r="H31" s="15">
        <v>3.8</v>
      </c>
      <c r="I31" s="27">
        <f t="shared" si="11"/>
        <v>3.8</v>
      </c>
      <c r="J31" s="18" t="str">
        <f t="shared" si="3"/>
        <v>H1</v>
      </c>
      <c r="K31" s="18" t="str">
        <f>IF(F31&lt;5,"H1",IF(F31&lt;10,"AUH2","FED1"))</f>
        <v>H1</v>
      </c>
      <c r="L31" s="18" t="str">
        <f>IF(G31&gt;12.9,"H1",IF(G31&gt;11.4,"H2",IF(G31&gt;10.4,"APW","ASW")))</f>
        <v>H1</v>
      </c>
      <c r="M31" s="15"/>
      <c r="N31" s="19" t="s">
        <v>30</v>
      </c>
      <c r="O31" s="15">
        <v>226</v>
      </c>
      <c r="P31" s="15">
        <v>35.67</v>
      </c>
      <c r="Q31" s="20">
        <f t="shared" si="6"/>
        <v>723.25399999999991</v>
      </c>
    </row>
    <row r="32" spans="1:17" x14ac:dyDescent="0.25">
      <c r="A32" s="3"/>
      <c r="B32" s="4" t="s">
        <v>9</v>
      </c>
      <c r="C32" s="15">
        <v>387.7</v>
      </c>
      <c r="D32" s="16">
        <f t="shared" si="15"/>
        <v>77.539999999999992</v>
      </c>
      <c r="E32" s="15">
        <v>8.77</v>
      </c>
      <c r="F32" s="17">
        <f t="shared" si="2"/>
        <v>2.2620582924941965</v>
      </c>
      <c r="G32" s="15">
        <v>14.5</v>
      </c>
      <c r="H32" s="15">
        <v>4.5999999999999996</v>
      </c>
      <c r="I32" s="27">
        <f t="shared" si="11"/>
        <v>4.5999999999999996</v>
      </c>
      <c r="J32" s="18" t="str">
        <f>IF(D32&gt;75,"DR1",IF(D32&gt;70,"DR3",IF(D32&gt;67,"AGP1","FED1")))</f>
        <v>DR1</v>
      </c>
      <c r="K32" s="18" t="str">
        <f t="shared" si="8"/>
        <v>DR1</v>
      </c>
      <c r="L32" s="18" t="str">
        <f t="shared" si="9"/>
        <v>DR1</v>
      </c>
      <c r="M32" s="15"/>
      <c r="N32" s="19" t="s">
        <v>33</v>
      </c>
      <c r="O32" s="15">
        <v>400</v>
      </c>
      <c r="P32" s="15">
        <v>32.15</v>
      </c>
      <c r="Q32" s="20">
        <f t="shared" si="6"/>
        <v>1692.11</v>
      </c>
    </row>
    <row r="33" spans="1:17" x14ac:dyDescent="0.25">
      <c r="A33" s="3"/>
      <c r="B33" s="4" t="s">
        <v>11</v>
      </c>
      <c r="C33" s="15">
        <v>402.7</v>
      </c>
      <c r="D33" s="16">
        <f t="shared" si="15"/>
        <v>80.540000000000006</v>
      </c>
      <c r="E33" s="15">
        <v>3.33</v>
      </c>
      <c r="F33" s="17">
        <f t="shared" si="2"/>
        <v>0.82691830146511058</v>
      </c>
      <c r="G33" s="15">
        <v>14.9</v>
      </c>
      <c r="H33" s="15">
        <v>4.7</v>
      </c>
      <c r="I33" s="27">
        <f t="shared" si="11"/>
        <v>4.7</v>
      </c>
      <c r="J33" s="18" t="str">
        <f t="shared" ref="J33:J35" si="16">IF(D33&gt;75,"DR1",IF(D33&gt;70,"DR3",IF(D33&gt;67,"AGP1","FED1")))</f>
        <v>DR1</v>
      </c>
      <c r="K33" s="18" t="str">
        <f t="shared" si="8"/>
        <v>DR1</v>
      </c>
      <c r="L33" s="18" t="str">
        <f t="shared" si="9"/>
        <v>DR1</v>
      </c>
      <c r="M33" s="15"/>
      <c r="N33" s="19" t="s">
        <v>33</v>
      </c>
      <c r="O33" s="15">
        <v>400</v>
      </c>
      <c r="P33" s="15">
        <v>32.15</v>
      </c>
      <c r="Q33" s="20">
        <f t="shared" si="6"/>
        <v>1728.8950000000002</v>
      </c>
    </row>
    <row r="34" spans="1:17" x14ac:dyDescent="0.25">
      <c r="A34" s="3"/>
      <c r="B34" s="4" t="s">
        <v>13</v>
      </c>
      <c r="C34" s="15">
        <v>378.7</v>
      </c>
      <c r="D34" s="16">
        <f t="shared" si="15"/>
        <v>75.739999999999995</v>
      </c>
      <c r="E34" s="15">
        <v>6.43</v>
      </c>
      <c r="F34" s="17">
        <f t="shared" si="2"/>
        <v>1.6979139160285186</v>
      </c>
      <c r="G34" s="15">
        <v>15.4</v>
      </c>
      <c r="H34" s="15">
        <v>4.3</v>
      </c>
      <c r="I34" s="27">
        <f t="shared" si="11"/>
        <v>4.3</v>
      </c>
      <c r="J34" s="18" t="str">
        <f t="shared" si="16"/>
        <v>DR1</v>
      </c>
      <c r="K34" s="18" t="str">
        <f t="shared" si="8"/>
        <v>DR1</v>
      </c>
      <c r="L34" s="18" t="str">
        <f t="shared" si="9"/>
        <v>DR1</v>
      </c>
      <c r="M34" s="15"/>
      <c r="N34" s="19" t="s">
        <v>33</v>
      </c>
      <c r="O34" s="15">
        <v>400</v>
      </c>
      <c r="P34" s="15">
        <v>32.15</v>
      </c>
      <c r="Q34" s="20">
        <f t="shared" si="6"/>
        <v>1581.7550000000001</v>
      </c>
    </row>
    <row r="35" spans="1:17" x14ac:dyDescent="0.25">
      <c r="A35" s="5"/>
      <c r="B35" s="6" t="s">
        <v>15</v>
      </c>
      <c r="C35" s="21">
        <v>397.7</v>
      </c>
      <c r="D35" s="22">
        <f t="shared" si="15"/>
        <v>79.540000000000006</v>
      </c>
      <c r="E35" s="21">
        <v>5.47</v>
      </c>
      <c r="F35" s="23">
        <f t="shared" si="2"/>
        <v>1.375408599446819</v>
      </c>
      <c r="G35" s="21">
        <v>15.7</v>
      </c>
      <c r="H35" s="21">
        <v>4.0999999999999996</v>
      </c>
      <c r="I35" s="28">
        <f t="shared" si="11"/>
        <v>4.0999999999999996</v>
      </c>
      <c r="J35" s="24" t="str">
        <f t="shared" si="16"/>
        <v>DR1</v>
      </c>
      <c r="K35" s="24" t="str">
        <f t="shared" si="8"/>
        <v>DR1</v>
      </c>
      <c r="L35" s="24" t="str">
        <f t="shared" si="9"/>
        <v>DR1</v>
      </c>
      <c r="M35" s="21"/>
      <c r="N35" s="25" t="s">
        <v>33</v>
      </c>
      <c r="O35" s="21">
        <v>400</v>
      </c>
      <c r="P35" s="21">
        <v>32.15</v>
      </c>
      <c r="Q35" s="26">
        <f t="shared" si="6"/>
        <v>1508.1849999999999</v>
      </c>
    </row>
    <row r="36" spans="1:17" x14ac:dyDescent="0.25">
      <c r="A36" s="1" t="s">
        <v>16</v>
      </c>
      <c r="B36" s="2" t="s">
        <v>8</v>
      </c>
      <c r="C36" s="9">
        <v>356.7</v>
      </c>
      <c r="D36" s="10">
        <f t="shared" si="15"/>
        <v>71.339999999999989</v>
      </c>
      <c r="E36" s="9">
        <v>2.4</v>
      </c>
      <c r="F36" s="11">
        <f t="shared" si="2"/>
        <v>0.67283431455004206</v>
      </c>
      <c r="G36" s="9">
        <v>11.9</v>
      </c>
      <c r="H36" s="9">
        <v>6</v>
      </c>
      <c r="I36" s="27">
        <f t="shared" si="11"/>
        <v>6</v>
      </c>
      <c r="J36" s="12" t="str">
        <f t="shared" si="3"/>
        <v>AUH2</v>
      </c>
      <c r="K36" s="12" t="str">
        <f>IF(F36&lt;5,"H1",IF(F36&lt;10,"AUH2","FED1"))</f>
        <v>H1</v>
      </c>
      <c r="L36" s="12" t="str">
        <f>IF(G36&gt;12.9,"H1",IF(G36&gt;11.4,"H2",IF(G36&gt;10.4,"APW","ASW")))</f>
        <v>H2</v>
      </c>
      <c r="M36" s="9"/>
      <c r="N36" s="13" t="s">
        <v>28</v>
      </c>
      <c r="O36" s="9">
        <v>206</v>
      </c>
      <c r="P36" s="9">
        <v>26.68</v>
      </c>
      <c r="Q36" s="14">
        <f t="shared" si="6"/>
        <v>1075.92</v>
      </c>
    </row>
    <row r="37" spans="1:17" x14ac:dyDescent="0.25">
      <c r="A37" s="3"/>
      <c r="B37" s="4" t="s">
        <v>12</v>
      </c>
      <c r="C37" s="15">
        <v>349.9</v>
      </c>
      <c r="D37" s="16">
        <f t="shared" si="15"/>
        <v>69.98</v>
      </c>
      <c r="E37" s="15">
        <v>2.6</v>
      </c>
      <c r="F37" s="17">
        <f t="shared" si="2"/>
        <v>0.7430694484138326</v>
      </c>
      <c r="G37" s="15">
        <v>12.1</v>
      </c>
      <c r="H37" s="15">
        <v>5.6</v>
      </c>
      <c r="I37" s="27">
        <f t="shared" si="11"/>
        <v>5.6</v>
      </c>
      <c r="J37" s="18" t="str">
        <f t="shared" si="3"/>
        <v>AGP1</v>
      </c>
      <c r="K37" s="18" t="str">
        <f>IF(F37&lt;5,"H1",IF(F37&lt;10,"AUH2","FED1"))</f>
        <v>H1</v>
      </c>
      <c r="L37" s="18" t="str">
        <f>IF(G37&gt;12.9,"H1",IF(G37&gt;11.4,"H2",IF(G37&gt;10.4,"APW","ASW")))</f>
        <v>H2</v>
      </c>
      <c r="M37" s="15"/>
      <c r="N37" s="19" t="s">
        <v>34</v>
      </c>
      <c r="O37" s="15">
        <v>153</v>
      </c>
      <c r="P37" s="15">
        <v>26.68</v>
      </c>
      <c r="Q37" s="20">
        <f t="shared" si="6"/>
        <v>707.39199999999994</v>
      </c>
    </row>
    <row r="38" spans="1:17" x14ac:dyDescent="0.25">
      <c r="A38" s="3"/>
      <c r="B38" s="4" t="s">
        <v>10</v>
      </c>
      <c r="C38" s="15">
        <v>384.4</v>
      </c>
      <c r="D38" s="16">
        <f t="shared" si="15"/>
        <v>76.88</v>
      </c>
      <c r="E38" s="15">
        <v>3.8</v>
      </c>
      <c r="F38" s="17">
        <f t="shared" si="2"/>
        <v>0.98855359001040577</v>
      </c>
      <c r="G38" s="15">
        <v>10.3</v>
      </c>
      <c r="H38" s="15">
        <v>6.6</v>
      </c>
      <c r="I38" s="27">
        <f t="shared" si="11"/>
        <v>6.6</v>
      </c>
      <c r="J38" s="18" t="str">
        <f>IF(D38&gt;75,"APW",IF(D38&gt;70,"AUH2",IF(D38&gt;67,"AGP1","FED1")))</f>
        <v>APW</v>
      </c>
      <c r="K38" s="18" t="str">
        <f>IF(F38&lt;5,"H1",IF(F38&lt;10,"AUH2","FED1"))</f>
        <v>H1</v>
      </c>
      <c r="L38" s="18" t="str">
        <f>IF(G38&gt;12.9,"H1",IF(G38&gt;11.4,"H2",IF(G38&gt;10.4,"APW","ASW")))</f>
        <v>ASW</v>
      </c>
      <c r="M38" s="15"/>
      <c r="N38" s="19" t="s">
        <v>29</v>
      </c>
      <c r="O38" s="15">
        <v>188</v>
      </c>
      <c r="P38" s="15">
        <v>26.68</v>
      </c>
      <c r="Q38" s="20">
        <f t="shared" si="6"/>
        <v>1064.712</v>
      </c>
    </row>
    <row r="39" spans="1:17" x14ac:dyDescent="0.25">
      <c r="A39" s="3"/>
      <c r="B39" s="4" t="s">
        <v>14</v>
      </c>
      <c r="C39" s="15">
        <v>372.4</v>
      </c>
      <c r="D39" s="16">
        <f t="shared" si="15"/>
        <v>74.47999999999999</v>
      </c>
      <c r="E39" s="15">
        <v>7.1</v>
      </c>
      <c r="F39" s="17">
        <f t="shared" si="2"/>
        <v>1.9065520945220193</v>
      </c>
      <c r="G39" s="15">
        <v>12.8</v>
      </c>
      <c r="H39" s="15">
        <v>5.0999999999999996</v>
      </c>
      <c r="I39" s="27">
        <f t="shared" si="11"/>
        <v>5.0999999999999996</v>
      </c>
      <c r="J39" s="18" t="str">
        <f t="shared" si="3"/>
        <v>AUH2</v>
      </c>
      <c r="K39" s="18" t="str">
        <f>IF(F39&lt;5,"H1",IF(F39&lt;10,"AUH2","FED1"))</f>
        <v>H1</v>
      </c>
      <c r="L39" s="18" t="str">
        <f>IF(G39&gt;12.9,"H1",IF(G39&gt;11.4,"H2",IF(G39&gt;10.4,"APW","ASW")))</f>
        <v>H2</v>
      </c>
      <c r="M39" s="15"/>
      <c r="N39" s="19" t="s">
        <v>28</v>
      </c>
      <c r="O39" s="15">
        <v>206</v>
      </c>
      <c r="P39" s="15">
        <v>26.68</v>
      </c>
      <c r="Q39" s="20">
        <f t="shared" si="6"/>
        <v>914.53199999999993</v>
      </c>
    </row>
    <row r="40" spans="1:17" x14ac:dyDescent="0.25">
      <c r="A40" s="3"/>
      <c r="B40" s="4" t="s">
        <v>9</v>
      </c>
      <c r="C40" s="15">
        <v>343.5</v>
      </c>
      <c r="D40" s="16">
        <f t="shared" si="15"/>
        <v>68.7</v>
      </c>
      <c r="E40" s="15">
        <v>6.8</v>
      </c>
      <c r="F40" s="17">
        <f t="shared" si="2"/>
        <v>1.9796215429403203</v>
      </c>
      <c r="G40" s="15">
        <v>10.4</v>
      </c>
      <c r="H40" s="15">
        <v>5.7</v>
      </c>
      <c r="I40" s="27">
        <f t="shared" si="11"/>
        <v>5.7</v>
      </c>
      <c r="J40" s="18" t="str">
        <f>IF(D40&gt;75,"DR1",IF(D40&gt;70,"DR3",IF(D40&gt;67,"AGP1","FED1")))</f>
        <v>AGP1</v>
      </c>
      <c r="K40" s="18" t="str">
        <f t="shared" si="8"/>
        <v>DR1</v>
      </c>
      <c r="L40" s="18" t="str">
        <f t="shared" si="9"/>
        <v>DR3</v>
      </c>
      <c r="M40" s="15"/>
      <c r="N40" s="19" t="s">
        <v>34</v>
      </c>
      <c r="O40" s="15">
        <v>153</v>
      </c>
      <c r="P40" s="15">
        <v>26.68</v>
      </c>
      <c r="Q40" s="20">
        <f t="shared" si="6"/>
        <v>720.024</v>
      </c>
    </row>
    <row r="41" spans="1:17" x14ac:dyDescent="0.25">
      <c r="A41" s="3"/>
      <c r="B41" s="4" t="s">
        <v>11</v>
      </c>
      <c r="C41" s="15">
        <v>376</v>
      </c>
      <c r="D41" s="16">
        <f t="shared" si="15"/>
        <v>75.2</v>
      </c>
      <c r="E41" s="15">
        <v>2.5</v>
      </c>
      <c r="F41" s="17">
        <f t="shared" si="2"/>
        <v>0.66489361702127658</v>
      </c>
      <c r="G41" s="15">
        <v>10.9</v>
      </c>
      <c r="H41" s="15">
        <v>5.2</v>
      </c>
      <c r="I41" s="27">
        <f t="shared" si="11"/>
        <v>5.2</v>
      </c>
      <c r="J41" s="18" t="str">
        <f t="shared" ref="J41:J43" si="17">IF(D41&gt;75,"DR1",IF(D41&gt;70,"DR3",IF(D41&gt;67,"AGP1","FED1")))</f>
        <v>DR1</v>
      </c>
      <c r="K41" s="18" t="str">
        <f t="shared" si="8"/>
        <v>DR1</v>
      </c>
      <c r="L41" s="18" t="str">
        <f t="shared" si="9"/>
        <v>DR3</v>
      </c>
      <c r="M41" s="15"/>
      <c r="N41" s="19" t="s">
        <v>31</v>
      </c>
      <c r="O41" s="15">
        <v>300</v>
      </c>
      <c r="P41" s="15">
        <v>52.35</v>
      </c>
      <c r="Q41" s="20">
        <f t="shared" si="6"/>
        <v>1287.78</v>
      </c>
    </row>
    <row r="42" spans="1:17" x14ac:dyDescent="0.25">
      <c r="A42" s="3"/>
      <c r="B42" s="4" t="s">
        <v>13</v>
      </c>
      <c r="C42" s="15">
        <v>330.1</v>
      </c>
      <c r="D42" s="16">
        <f t="shared" si="15"/>
        <v>66.02</v>
      </c>
      <c r="E42" s="15">
        <v>2.8</v>
      </c>
      <c r="F42" s="17">
        <f t="shared" si="2"/>
        <v>0.84822780975461964</v>
      </c>
      <c r="G42" s="15">
        <v>11.7</v>
      </c>
      <c r="H42" s="15">
        <v>5.3</v>
      </c>
      <c r="I42" s="27">
        <f t="shared" si="11"/>
        <v>5.3</v>
      </c>
      <c r="J42" s="18" t="str">
        <f t="shared" si="17"/>
        <v>FED1</v>
      </c>
      <c r="K42" s="18" t="str">
        <f t="shared" si="8"/>
        <v>DR1</v>
      </c>
      <c r="L42" s="18" t="str">
        <f t="shared" si="9"/>
        <v>DR2</v>
      </c>
      <c r="M42" s="15"/>
      <c r="N42" s="19" t="s">
        <v>35</v>
      </c>
      <c r="O42" s="15">
        <v>153</v>
      </c>
      <c r="P42" s="15">
        <v>26.68</v>
      </c>
      <c r="Q42" s="20">
        <f t="shared" si="6"/>
        <v>669.49599999999998</v>
      </c>
    </row>
    <row r="43" spans="1:17" x14ac:dyDescent="0.25">
      <c r="A43" s="5"/>
      <c r="B43" s="6" t="s">
        <v>15</v>
      </c>
      <c r="C43" s="21">
        <v>363</v>
      </c>
      <c r="D43" s="22">
        <f t="shared" si="15"/>
        <v>72.599999999999994</v>
      </c>
      <c r="E43" s="21">
        <v>2</v>
      </c>
      <c r="F43" s="23">
        <f t="shared" si="2"/>
        <v>0.55096418732782371</v>
      </c>
      <c r="G43" s="21">
        <v>10.8</v>
      </c>
      <c r="H43" s="21">
        <v>5.2</v>
      </c>
      <c r="I43" s="28">
        <f t="shared" si="11"/>
        <v>5.2</v>
      </c>
      <c r="J43" s="24" t="str">
        <f t="shared" si="17"/>
        <v>DR3</v>
      </c>
      <c r="K43" s="24" t="str">
        <f t="shared" si="8"/>
        <v>DR1</v>
      </c>
      <c r="L43" s="24" t="str">
        <f t="shared" si="9"/>
        <v>DR3</v>
      </c>
      <c r="M43" s="21"/>
      <c r="N43" s="25" t="s">
        <v>31</v>
      </c>
      <c r="O43" s="21">
        <v>300</v>
      </c>
      <c r="P43" s="21">
        <v>52.35</v>
      </c>
      <c r="Q43" s="26">
        <f t="shared" si="6"/>
        <v>1287.78</v>
      </c>
    </row>
  </sheetData>
  <pageMargins left="0.7" right="0.7" top="0.75" bottom="0.75" header="0.3" footer="0.3"/>
  <pageSetup paperSize="9" orientation="portrait" verticalDpi="0" r:id="rId1"/>
  <ignoredErrors>
    <ignoredError sqref="J6 J14 J22 J30 J38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workbookViewId="0"/>
  </sheetViews>
  <sheetFormatPr defaultRowHeight="15" x14ac:dyDescent="0.25"/>
  <cols>
    <col min="1" max="1" width="12.42578125" customWidth="1"/>
    <col min="2" max="2" width="9" customWidth="1"/>
    <col min="257" max="257" width="12.42578125" customWidth="1"/>
    <col min="258" max="258" width="9" customWidth="1"/>
    <col min="513" max="513" width="12.42578125" customWidth="1"/>
    <col min="514" max="514" width="9" customWidth="1"/>
    <col min="769" max="769" width="12.42578125" customWidth="1"/>
    <col min="770" max="770" width="9" customWidth="1"/>
    <col min="1025" max="1025" width="12.42578125" customWidth="1"/>
    <col min="1026" max="1026" width="9" customWidth="1"/>
    <col min="1281" max="1281" width="12.42578125" customWidth="1"/>
    <col min="1282" max="1282" width="9" customWidth="1"/>
    <col min="1537" max="1537" width="12.42578125" customWidth="1"/>
    <col min="1538" max="1538" width="9" customWidth="1"/>
    <col min="1793" max="1793" width="12.42578125" customWidth="1"/>
    <col min="1794" max="1794" width="9" customWidth="1"/>
    <col min="2049" max="2049" width="12.42578125" customWidth="1"/>
    <col min="2050" max="2050" width="9" customWidth="1"/>
    <col min="2305" max="2305" width="12.42578125" customWidth="1"/>
    <col min="2306" max="2306" width="9" customWidth="1"/>
    <col min="2561" max="2561" width="12.42578125" customWidth="1"/>
    <col min="2562" max="2562" width="9" customWidth="1"/>
    <col min="2817" max="2817" width="12.42578125" customWidth="1"/>
    <col min="2818" max="2818" width="9" customWidth="1"/>
    <col min="3073" max="3073" width="12.42578125" customWidth="1"/>
    <col min="3074" max="3074" width="9" customWidth="1"/>
    <col min="3329" max="3329" width="12.42578125" customWidth="1"/>
    <col min="3330" max="3330" width="9" customWidth="1"/>
    <col min="3585" max="3585" width="12.42578125" customWidth="1"/>
    <col min="3586" max="3586" width="9" customWidth="1"/>
    <col min="3841" max="3841" width="12.42578125" customWidth="1"/>
    <col min="3842" max="3842" width="9" customWidth="1"/>
    <col min="4097" max="4097" width="12.42578125" customWidth="1"/>
    <col min="4098" max="4098" width="9" customWidth="1"/>
    <col min="4353" max="4353" width="12.42578125" customWidth="1"/>
    <col min="4354" max="4354" width="9" customWidth="1"/>
    <col min="4609" max="4609" width="12.42578125" customWidth="1"/>
    <col min="4610" max="4610" width="9" customWidth="1"/>
    <col min="4865" max="4865" width="12.42578125" customWidth="1"/>
    <col min="4866" max="4866" width="9" customWidth="1"/>
    <col min="5121" max="5121" width="12.42578125" customWidth="1"/>
    <col min="5122" max="5122" width="9" customWidth="1"/>
    <col min="5377" max="5377" width="12.42578125" customWidth="1"/>
    <col min="5378" max="5378" width="9" customWidth="1"/>
    <col min="5633" max="5633" width="12.42578125" customWidth="1"/>
    <col min="5634" max="5634" width="9" customWidth="1"/>
    <col min="5889" max="5889" width="12.42578125" customWidth="1"/>
    <col min="5890" max="5890" width="9" customWidth="1"/>
    <col min="6145" max="6145" width="12.42578125" customWidth="1"/>
    <col min="6146" max="6146" width="9" customWidth="1"/>
    <col min="6401" max="6401" width="12.42578125" customWidth="1"/>
    <col min="6402" max="6402" width="9" customWidth="1"/>
    <col min="6657" max="6657" width="12.42578125" customWidth="1"/>
    <col min="6658" max="6658" width="9" customWidth="1"/>
    <col min="6913" max="6913" width="12.42578125" customWidth="1"/>
    <col min="6914" max="6914" width="9" customWidth="1"/>
    <col min="7169" max="7169" width="12.42578125" customWidth="1"/>
    <col min="7170" max="7170" width="9" customWidth="1"/>
    <col min="7425" max="7425" width="12.42578125" customWidth="1"/>
    <col min="7426" max="7426" width="9" customWidth="1"/>
    <col min="7681" max="7681" width="12.42578125" customWidth="1"/>
    <col min="7682" max="7682" width="9" customWidth="1"/>
    <col min="7937" max="7937" width="12.42578125" customWidth="1"/>
    <col min="7938" max="7938" width="9" customWidth="1"/>
    <col min="8193" max="8193" width="12.42578125" customWidth="1"/>
    <col min="8194" max="8194" width="9" customWidth="1"/>
    <col min="8449" max="8449" width="12.42578125" customWidth="1"/>
    <col min="8450" max="8450" width="9" customWidth="1"/>
    <col min="8705" max="8705" width="12.42578125" customWidth="1"/>
    <col min="8706" max="8706" width="9" customWidth="1"/>
    <col min="8961" max="8961" width="12.42578125" customWidth="1"/>
    <col min="8962" max="8962" width="9" customWidth="1"/>
    <col min="9217" max="9217" width="12.42578125" customWidth="1"/>
    <col min="9218" max="9218" width="9" customWidth="1"/>
    <col min="9473" max="9473" width="12.42578125" customWidth="1"/>
    <col min="9474" max="9474" width="9" customWidth="1"/>
    <col min="9729" max="9729" width="12.42578125" customWidth="1"/>
    <col min="9730" max="9730" width="9" customWidth="1"/>
    <col min="9985" max="9985" width="12.42578125" customWidth="1"/>
    <col min="9986" max="9986" width="9" customWidth="1"/>
    <col min="10241" max="10241" width="12.42578125" customWidth="1"/>
    <col min="10242" max="10242" width="9" customWidth="1"/>
    <col min="10497" max="10497" width="12.42578125" customWidth="1"/>
    <col min="10498" max="10498" width="9" customWidth="1"/>
    <col min="10753" max="10753" width="12.42578125" customWidth="1"/>
    <col min="10754" max="10754" width="9" customWidth="1"/>
    <col min="11009" max="11009" width="12.42578125" customWidth="1"/>
    <col min="11010" max="11010" width="9" customWidth="1"/>
    <col min="11265" max="11265" width="12.42578125" customWidth="1"/>
    <col min="11266" max="11266" width="9" customWidth="1"/>
    <col min="11521" max="11521" width="12.42578125" customWidth="1"/>
    <col min="11522" max="11522" width="9" customWidth="1"/>
    <col min="11777" max="11777" width="12.42578125" customWidth="1"/>
    <col min="11778" max="11778" width="9" customWidth="1"/>
    <col min="12033" max="12033" width="12.42578125" customWidth="1"/>
    <col min="12034" max="12034" width="9" customWidth="1"/>
    <col min="12289" max="12289" width="12.42578125" customWidth="1"/>
    <col min="12290" max="12290" width="9" customWidth="1"/>
    <col min="12545" max="12545" width="12.42578125" customWidth="1"/>
    <col min="12546" max="12546" width="9" customWidth="1"/>
    <col min="12801" max="12801" width="12.42578125" customWidth="1"/>
    <col min="12802" max="12802" width="9" customWidth="1"/>
    <col min="13057" max="13057" width="12.42578125" customWidth="1"/>
    <col min="13058" max="13058" width="9" customWidth="1"/>
    <col min="13313" max="13313" width="12.42578125" customWidth="1"/>
    <col min="13314" max="13314" width="9" customWidth="1"/>
    <col min="13569" max="13569" width="12.42578125" customWidth="1"/>
    <col min="13570" max="13570" width="9" customWidth="1"/>
    <col min="13825" max="13825" width="12.42578125" customWidth="1"/>
    <col min="13826" max="13826" width="9" customWidth="1"/>
    <col min="14081" max="14081" width="12.42578125" customWidth="1"/>
    <col min="14082" max="14082" width="9" customWidth="1"/>
    <col min="14337" max="14337" width="12.42578125" customWidth="1"/>
    <col min="14338" max="14338" width="9" customWidth="1"/>
    <col min="14593" max="14593" width="12.42578125" customWidth="1"/>
    <col min="14594" max="14594" width="9" customWidth="1"/>
    <col min="14849" max="14849" width="12.42578125" customWidth="1"/>
    <col min="14850" max="14850" width="9" customWidth="1"/>
    <col min="15105" max="15105" width="12.42578125" customWidth="1"/>
    <col min="15106" max="15106" width="9" customWidth="1"/>
    <col min="15361" max="15361" width="12.42578125" customWidth="1"/>
    <col min="15362" max="15362" width="9" customWidth="1"/>
    <col min="15617" max="15617" width="12.42578125" customWidth="1"/>
    <col min="15618" max="15618" width="9" customWidth="1"/>
    <col min="15873" max="15873" width="12.42578125" customWidth="1"/>
    <col min="15874" max="15874" width="9" customWidth="1"/>
    <col min="16129" max="16129" width="12.42578125" customWidth="1"/>
    <col min="16130" max="16130" width="9" customWidth="1"/>
  </cols>
  <sheetData>
    <row r="1" spans="1:13" ht="18" x14ac:dyDescent="0.25">
      <c r="A1" s="29" t="s">
        <v>145</v>
      </c>
      <c r="B1" s="29"/>
      <c r="C1" s="30"/>
      <c r="D1" s="29"/>
      <c r="F1" s="29"/>
      <c r="G1" s="29">
        <f>RESULTS!I1</f>
        <v>2016</v>
      </c>
      <c r="H1" s="15"/>
      <c r="I1" s="29" t="s">
        <v>38</v>
      </c>
      <c r="J1" s="15"/>
      <c r="K1" s="15"/>
      <c r="L1" s="31">
        <v>1</v>
      </c>
    </row>
    <row r="2" spans="1:13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32"/>
    </row>
    <row r="3" spans="1:13" x14ac:dyDescent="0.25">
      <c r="A3" s="33" t="s">
        <v>39</v>
      </c>
      <c r="C3" s="34" t="s">
        <v>40</v>
      </c>
      <c r="D3" s="34"/>
      <c r="E3" s="34" t="s">
        <v>41</v>
      </c>
      <c r="F3" s="34"/>
      <c r="H3" s="34" t="s">
        <v>42</v>
      </c>
      <c r="K3" s="35" t="s">
        <v>43</v>
      </c>
      <c r="L3">
        <f>C4*L1</f>
        <v>4.7</v>
      </c>
    </row>
    <row r="4" spans="1:13" x14ac:dyDescent="0.25">
      <c r="C4" s="36">
        <f>QUALITY!H33</f>
        <v>4.7</v>
      </c>
      <c r="D4" s="37"/>
      <c r="E4" s="37">
        <f>QUALITY!O33</f>
        <v>400</v>
      </c>
      <c r="F4" s="37"/>
      <c r="H4" s="37">
        <f>E4*C4</f>
        <v>1880</v>
      </c>
      <c r="K4" s="35" t="s">
        <v>44</v>
      </c>
      <c r="L4">
        <f>L3-L6</f>
        <v>4.7</v>
      </c>
    </row>
    <row r="5" spans="1:13" x14ac:dyDescent="0.25">
      <c r="K5" s="35"/>
    </row>
    <row r="6" spans="1:13" x14ac:dyDescent="0.25">
      <c r="K6" s="35" t="s">
        <v>45</v>
      </c>
      <c r="L6" s="37">
        <v>0</v>
      </c>
    </row>
    <row r="7" spans="1:13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3" x14ac:dyDescent="0.25">
      <c r="A8" s="33" t="s">
        <v>46</v>
      </c>
    </row>
    <row r="10" spans="1:13" x14ac:dyDescent="0.25">
      <c r="A10" t="s">
        <v>137</v>
      </c>
      <c r="C10">
        <f>C4</f>
        <v>4.7</v>
      </c>
      <c r="E10" s="37">
        <f>QUALITY!P33</f>
        <v>32.15</v>
      </c>
      <c r="H10" s="47">
        <f>E10*C10</f>
        <v>151.10499999999999</v>
      </c>
      <c r="K10" s="35" t="s">
        <v>47</v>
      </c>
      <c r="L10">
        <f>L4*E4</f>
        <v>1880</v>
      </c>
    </row>
    <row r="11" spans="1:13" x14ac:dyDescent="0.25">
      <c r="A11" t="s">
        <v>146</v>
      </c>
      <c r="C11">
        <f>C4</f>
        <v>4.7</v>
      </c>
      <c r="E11" s="37">
        <v>0</v>
      </c>
      <c r="H11" s="47">
        <f>E11*C11</f>
        <v>0</v>
      </c>
      <c r="K11" s="35" t="s">
        <v>48</v>
      </c>
      <c r="L11">
        <f>L4*E15</f>
        <v>151.10499999999999</v>
      </c>
    </row>
    <row r="12" spans="1:13" x14ac:dyDescent="0.25">
      <c r="A12" t="s">
        <v>147</v>
      </c>
      <c r="C12">
        <f>C4</f>
        <v>4.7</v>
      </c>
      <c r="E12" s="37">
        <v>0</v>
      </c>
      <c r="H12" s="47">
        <f>E12*C12</f>
        <v>0</v>
      </c>
      <c r="K12" s="35"/>
    </row>
    <row r="13" spans="1:13" x14ac:dyDescent="0.25">
      <c r="A13">
        <v>4</v>
      </c>
      <c r="C13">
        <f>C4</f>
        <v>4.7</v>
      </c>
      <c r="E13" s="37">
        <v>0</v>
      </c>
      <c r="H13" s="47">
        <f>E13*C13</f>
        <v>0</v>
      </c>
      <c r="K13" s="35" t="s">
        <v>49</v>
      </c>
      <c r="L13">
        <f>L10-L11</f>
        <v>1728.895</v>
      </c>
    </row>
    <row r="14" spans="1:13" x14ac:dyDescent="0.25">
      <c r="H14" s="47"/>
      <c r="K14" s="35"/>
    </row>
    <row r="15" spans="1:13" x14ac:dyDescent="0.25">
      <c r="C15" s="33" t="s">
        <v>50</v>
      </c>
      <c r="E15">
        <f>SUM(E10:E13)</f>
        <v>32.15</v>
      </c>
      <c r="H15" s="47">
        <f>SUM(H10:H13)</f>
        <v>151.10499999999999</v>
      </c>
      <c r="K15" s="35" t="s">
        <v>51</v>
      </c>
      <c r="L15">
        <f>L13*M15</f>
        <v>1728.895</v>
      </c>
      <c r="M15" s="38">
        <v>1</v>
      </c>
    </row>
    <row r="16" spans="1:13" x14ac:dyDescent="0.25">
      <c r="H16" s="47"/>
      <c r="K16" s="35" t="s">
        <v>52</v>
      </c>
      <c r="L16">
        <f>L13*M16</f>
        <v>0</v>
      </c>
      <c r="M16" s="38">
        <v>0</v>
      </c>
    </row>
    <row r="17" spans="1:13" x14ac:dyDescent="0.25">
      <c r="C17" s="33" t="s">
        <v>53</v>
      </c>
      <c r="E17">
        <f>E4-E15</f>
        <v>367.85</v>
      </c>
      <c r="H17" s="47">
        <f>H4-H15</f>
        <v>1728.895</v>
      </c>
      <c r="K17" s="35" t="s">
        <v>54</v>
      </c>
      <c r="L17">
        <f>L13*M17</f>
        <v>0</v>
      </c>
      <c r="M17" s="38">
        <v>0</v>
      </c>
    </row>
    <row r="18" spans="1:13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20" spans="1:13" x14ac:dyDescent="0.25">
      <c r="A20" s="33" t="s">
        <v>55</v>
      </c>
      <c r="C20" s="34" t="s">
        <v>56</v>
      </c>
      <c r="D20" s="34" t="s">
        <v>57</v>
      </c>
      <c r="E20" s="34" t="s">
        <v>58</v>
      </c>
      <c r="F20" s="34" t="s">
        <v>57</v>
      </c>
      <c r="G20" s="34"/>
      <c r="H20" s="34" t="s">
        <v>59</v>
      </c>
    </row>
    <row r="22" spans="1:13" x14ac:dyDescent="0.25">
      <c r="A22" t="s">
        <v>60</v>
      </c>
      <c r="C22" s="37">
        <v>80</v>
      </c>
      <c r="D22" t="s">
        <v>61</v>
      </c>
      <c r="E22" s="37">
        <f>E4/1000</f>
        <v>0.4</v>
      </c>
      <c r="F22" t="s">
        <v>62</v>
      </c>
      <c r="H22">
        <f>C22*E22</f>
        <v>32</v>
      </c>
      <c r="I22" s="37"/>
      <c r="L22" s="39">
        <f>H22*$L$1</f>
        <v>32</v>
      </c>
    </row>
    <row r="23" spans="1:13" x14ac:dyDescent="0.25">
      <c r="A23" t="s">
        <v>63</v>
      </c>
      <c r="C23" s="37">
        <v>0</v>
      </c>
      <c r="D23" t="s">
        <v>61</v>
      </c>
      <c r="E23" s="37">
        <f>'COO BR'!E23</f>
        <v>50</v>
      </c>
      <c r="F23" t="s">
        <v>62</v>
      </c>
      <c r="H23">
        <f>E23*C23</f>
        <v>0</v>
      </c>
      <c r="L23" s="39">
        <f t="shared" ref="L23:L33" si="0">H23*$L$1</f>
        <v>0</v>
      </c>
    </row>
    <row r="24" spans="1:13" x14ac:dyDescent="0.25">
      <c r="A24" t="s">
        <v>64</v>
      </c>
      <c r="B24" s="40" t="str">
        <f>'COO BR'!B24</f>
        <v>DAP</v>
      </c>
      <c r="C24" s="37">
        <v>100</v>
      </c>
      <c r="D24" t="s">
        <v>61</v>
      </c>
      <c r="E24" s="37">
        <f>'COO BR'!E24</f>
        <v>998</v>
      </c>
      <c r="F24" t="s">
        <v>65</v>
      </c>
      <c r="H24">
        <f>C24*E24/1000</f>
        <v>99.8</v>
      </c>
      <c r="L24" s="39">
        <f t="shared" si="0"/>
        <v>99.8</v>
      </c>
    </row>
    <row r="25" spans="1:13" x14ac:dyDescent="0.25">
      <c r="A25" t="s">
        <v>66</v>
      </c>
      <c r="B25" s="40" t="str">
        <f>'COO BR'!B25</f>
        <v>UAN</v>
      </c>
      <c r="C25" s="37">
        <v>150</v>
      </c>
      <c r="D25" t="s">
        <v>67</v>
      </c>
      <c r="E25" s="37">
        <f>'COO BR'!E25</f>
        <v>750</v>
      </c>
      <c r="F25" t="s">
        <v>143</v>
      </c>
      <c r="H25">
        <f>C25*E25/1000</f>
        <v>112.5</v>
      </c>
      <c r="L25" s="39">
        <f>H25*L1</f>
        <v>112.5</v>
      </c>
    </row>
    <row r="26" spans="1:13" x14ac:dyDescent="0.25">
      <c r="A26" t="s">
        <v>68</v>
      </c>
      <c r="B26" s="40" t="str">
        <f>'COO BR'!B26</f>
        <v>Ultramax</v>
      </c>
      <c r="C26" s="37">
        <f>'COO BR'!C26</f>
        <v>2</v>
      </c>
      <c r="D26" t="s">
        <v>69</v>
      </c>
      <c r="E26" s="37">
        <f>'COO BR'!E26</f>
        <v>8</v>
      </c>
      <c r="F26" t="s">
        <v>70</v>
      </c>
      <c r="H26">
        <f>E26*C26</f>
        <v>16</v>
      </c>
      <c r="L26" s="39">
        <f t="shared" si="0"/>
        <v>16</v>
      </c>
    </row>
    <row r="27" spans="1:13" x14ac:dyDescent="0.25">
      <c r="A27" t="s">
        <v>71</v>
      </c>
      <c r="B27" s="40" t="str">
        <f>'COO BR'!B27</f>
        <v>Striker</v>
      </c>
      <c r="C27" s="37">
        <f>'COO BR'!C27</f>
        <v>0.15</v>
      </c>
      <c r="D27" t="s">
        <v>69</v>
      </c>
      <c r="E27" s="37">
        <f>'COO BR'!E27</f>
        <v>50</v>
      </c>
      <c r="F27" t="s">
        <v>70</v>
      </c>
      <c r="H27">
        <f>E27*C27</f>
        <v>7.5</v>
      </c>
      <c r="L27" s="39">
        <f t="shared" si="0"/>
        <v>7.5</v>
      </c>
    </row>
    <row r="28" spans="1:13" x14ac:dyDescent="0.25">
      <c r="A28" t="s">
        <v>72</v>
      </c>
      <c r="B28" s="40" t="str">
        <f>'COO BR'!B28</f>
        <v>Jedi Duo</v>
      </c>
      <c r="C28" s="37">
        <f>'COO BR'!C28</f>
        <v>1.8</v>
      </c>
      <c r="D28" t="s">
        <v>69</v>
      </c>
      <c r="E28" s="37">
        <f>'COO BR'!E28</f>
        <v>20</v>
      </c>
      <c r="F28" t="s">
        <v>70</v>
      </c>
      <c r="H28">
        <f>E28*C28</f>
        <v>36</v>
      </c>
      <c r="L28" s="39">
        <f t="shared" si="0"/>
        <v>36</v>
      </c>
    </row>
    <row r="29" spans="1:13" x14ac:dyDescent="0.25">
      <c r="A29" t="s">
        <v>73</v>
      </c>
      <c r="B29" s="40" t="str">
        <f>'COO BR'!B29</f>
        <v>MCPA</v>
      </c>
      <c r="C29" s="37">
        <f>'COO BR'!C29</f>
        <v>0.5</v>
      </c>
      <c r="D29" t="s">
        <v>69</v>
      </c>
      <c r="E29" s="37">
        <f>'COO BR'!E29</f>
        <v>11</v>
      </c>
      <c r="F29" t="s">
        <v>70</v>
      </c>
      <c r="H29">
        <f>E29*C29</f>
        <v>5.5</v>
      </c>
      <c r="L29" s="39">
        <f t="shared" si="0"/>
        <v>5.5</v>
      </c>
    </row>
    <row r="30" spans="1:13" x14ac:dyDescent="0.25">
      <c r="A30" t="s">
        <v>74</v>
      </c>
      <c r="B30" s="40" t="str">
        <f>'COO BR'!B30</f>
        <v>Lontrel</v>
      </c>
      <c r="C30" s="37">
        <f>'COO BR'!C30</f>
        <v>0.125</v>
      </c>
      <c r="D30" t="s">
        <v>69</v>
      </c>
      <c r="E30" s="37">
        <f>'COO BR'!E30</f>
        <v>20</v>
      </c>
      <c r="F30" t="s">
        <v>70</v>
      </c>
      <c r="H30">
        <f>E30*C30</f>
        <v>2.5</v>
      </c>
      <c r="L30" s="39">
        <f t="shared" si="0"/>
        <v>2.5</v>
      </c>
    </row>
    <row r="31" spans="1:13" x14ac:dyDescent="0.25">
      <c r="A31" t="s">
        <v>75</v>
      </c>
      <c r="C31" s="41">
        <v>0.01</v>
      </c>
      <c r="E31" s="37"/>
      <c r="H31" s="42">
        <f>C31*H4</f>
        <v>18.8</v>
      </c>
      <c r="L31" s="39">
        <f t="shared" si="0"/>
        <v>18.8</v>
      </c>
    </row>
    <row r="32" spans="1:13" x14ac:dyDescent="0.25">
      <c r="A32" t="s">
        <v>76</v>
      </c>
      <c r="C32" s="43">
        <f>C13</f>
        <v>4.7</v>
      </c>
      <c r="D32" t="s">
        <v>77</v>
      </c>
      <c r="E32" s="37">
        <v>0</v>
      </c>
      <c r="F32" t="s">
        <v>65</v>
      </c>
      <c r="H32" s="39">
        <f>E32*C32</f>
        <v>0</v>
      </c>
      <c r="L32" s="39">
        <f t="shared" si="0"/>
        <v>0</v>
      </c>
    </row>
    <row r="33" spans="1:12" x14ac:dyDescent="0.25">
      <c r="A33" t="s">
        <v>78</v>
      </c>
      <c r="C33" s="37">
        <f>'COO BR'!C34</f>
        <v>9</v>
      </c>
      <c r="D33" t="s">
        <v>69</v>
      </c>
      <c r="E33" s="37">
        <f>'COO BR'!E34</f>
        <v>1.5</v>
      </c>
      <c r="F33" t="s">
        <v>70</v>
      </c>
      <c r="H33">
        <f>E33*C33</f>
        <v>13.5</v>
      </c>
      <c r="L33" s="39">
        <f t="shared" si="0"/>
        <v>13.5</v>
      </c>
    </row>
    <row r="34" spans="1:12" x14ac:dyDescent="0.25">
      <c r="C34" s="44"/>
      <c r="E34" s="45"/>
      <c r="L34" s="39"/>
    </row>
    <row r="35" spans="1:12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7" spans="1:12" x14ac:dyDescent="0.25">
      <c r="F37" s="46" t="s">
        <v>79</v>
      </c>
      <c r="H37" s="47">
        <f>SUM(H22:H35)</f>
        <v>344.1</v>
      </c>
      <c r="K37" s="46" t="s">
        <v>80</v>
      </c>
      <c r="L37" s="39">
        <f>SUM(L22:L36)</f>
        <v>344.1</v>
      </c>
    </row>
    <row r="38" spans="1:12" x14ac:dyDescent="0.25">
      <c r="H38" s="47"/>
      <c r="K38" s="46"/>
      <c r="L38" s="39"/>
    </row>
    <row r="39" spans="1:12" x14ac:dyDescent="0.25">
      <c r="H39" s="47"/>
      <c r="K39" s="46" t="s">
        <v>81</v>
      </c>
      <c r="L39" s="39">
        <f>L13-L37</f>
        <v>1384.7950000000001</v>
      </c>
    </row>
    <row r="40" spans="1:12" x14ac:dyDescent="0.25">
      <c r="H40" s="47"/>
      <c r="K40" s="46" t="s">
        <v>82</v>
      </c>
      <c r="L40" s="39">
        <f>L6*E17</f>
        <v>0</v>
      </c>
    </row>
    <row r="41" spans="1:12" x14ac:dyDescent="0.25">
      <c r="H41" s="47"/>
      <c r="K41" s="46"/>
      <c r="L41" s="39"/>
    </row>
    <row r="42" spans="1:12" x14ac:dyDescent="0.25">
      <c r="F42" s="46" t="s">
        <v>83</v>
      </c>
      <c r="H42" s="47">
        <f>H17-H37</f>
        <v>1384.7950000000001</v>
      </c>
      <c r="K42" s="46" t="s">
        <v>84</v>
      </c>
      <c r="L42" s="39">
        <f>L39+L40</f>
        <v>1384.7950000000001</v>
      </c>
    </row>
    <row r="43" spans="1:12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</row>
    <row r="45" spans="1:12" x14ac:dyDescent="0.25">
      <c r="A45" s="33" t="s">
        <v>85</v>
      </c>
      <c r="C45" s="47">
        <f>H37/E4</f>
        <v>0.86025000000000007</v>
      </c>
    </row>
    <row r="46" spans="1:12" x14ac:dyDescent="0.25">
      <c r="C46" s="47"/>
    </row>
    <row r="47" spans="1:12" x14ac:dyDescent="0.25">
      <c r="A47" s="33" t="s">
        <v>86</v>
      </c>
      <c r="C47" s="47">
        <f>H37/C4</f>
        <v>73.212765957446805</v>
      </c>
    </row>
    <row r="48" spans="1:12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</row>
    <row r="50" spans="1:12" x14ac:dyDescent="0.25">
      <c r="A50" s="33" t="s">
        <v>87</v>
      </c>
      <c r="E50" s="35" t="s">
        <v>88</v>
      </c>
      <c r="F50" s="51">
        <f>H37</f>
        <v>344.1</v>
      </c>
      <c r="G50" t="s">
        <v>89</v>
      </c>
    </row>
    <row r="52" spans="1:12" x14ac:dyDescent="0.25">
      <c r="A52" t="s">
        <v>101</v>
      </c>
      <c r="C52" s="37"/>
    </row>
    <row r="53" spans="1:12" x14ac:dyDescent="0.25">
      <c r="A53" t="s">
        <v>106</v>
      </c>
      <c r="C53" s="37"/>
    </row>
    <row r="54" spans="1:12" x14ac:dyDescent="0.25">
      <c r="E54" s="34" t="s">
        <v>91</v>
      </c>
    </row>
    <row r="55" spans="1:12" x14ac:dyDescent="0.25">
      <c r="C55" s="46" t="s">
        <v>90</v>
      </c>
      <c r="D55" s="33">
        <f>MIN(QUALITY!$O$32:$O$35)</f>
        <v>400</v>
      </c>
      <c r="E55" s="33">
        <f>AVERAGE(QUALITY!$O$32:$O$35)</f>
        <v>400</v>
      </c>
      <c r="F55" s="33">
        <f>MAX(QUALITY!$O$32:$O$35)</f>
        <v>400</v>
      </c>
    </row>
    <row r="56" spans="1:12" x14ac:dyDescent="0.25">
      <c r="A56" s="33" t="s">
        <v>92</v>
      </c>
      <c r="C56" s="33">
        <f>MAX(QUALITY!$H$32:$H$35)</f>
        <v>4.7</v>
      </c>
      <c r="D56" s="39">
        <f>C56*(D55-$E$15)-$H$37</f>
        <v>1384.7950000000001</v>
      </c>
      <c r="E56" s="39">
        <f>C56*(E55-$E$15)-$H$37</f>
        <v>1384.7950000000001</v>
      </c>
      <c r="F56" s="39">
        <f>C56*(F55-$E$15)-$H$37</f>
        <v>1384.7950000000001</v>
      </c>
    </row>
    <row r="57" spans="1:12" x14ac:dyDescent="0.25">
      <c r="A57" s="33" t="s">
        <v>93</v>
      </c>
      <c r="C57" s="52">
        <f>AVERAGE(QUALITY!$H$32:$H$35)</f>
        <v>4.4250000000000007</v>
      </c>
      <c r="D57" s="39">
        <f>C57*(D55-$E$15)-$H$37</f>
        <v>1283.6362500000005</v>
      </c>
      <c r="E57" s="39">
        <f>C57*(E55-$E$15)-$H$37</f>
        <v>1283.6362500000005</v>
      </c>
      <c r="F57" s="39">
        <f>C57*(F55-$E$15)-$H$37</f>
        <v>1283.6362500000005</v>
      </c>
    </row>
    <row r="58" spans="1:12" x14ac:dyDescent="0.25">
      <c r="A58" s="33" t="s">
        <v>94</v>
      </c>
      <c r="C58" s="33">
        <f>MIN(QUALITY!$H$32:$H$35)</f>
        <v>4.0999999999999996</v>
      </c>
      <c r="D58" s="39">
        <f>C58*(D55-$E$15)-$H$37</f>
        <v>1164.085</v>
      </c>
      <c r="E58" s="39">
        <f>C58*(E55-$E$15)-$H$37</f>
        <v>1164.085</v>
      </c>
      <c r="F58" s="39">
        <f>C58*(F55-$E$15)-$H$37</f>
        <v>1164.085</v>
      </c>
    </row>
    <row r="59" spans="1:12" x14ac:dyDescent="0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</row>
  </sheetData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workbookViewId="0"/>
  </sheetViews>
  <sheetFormatPr defaultRowHeight="15" x14ac:dyDescent="0.25"/>
  <cols>
    <col min="1" max="1" width="12.42578125" customWidth="1"/>
    <col min="2" max="2" width="10.140625" customWidth="1"/>
    <col min="257" max="257" width="12.42578125" customWidth="1"/>
    <col min="258" max="258" width="9" customWidth="1"/>
    <col min="513" max="513" width="12.42578125" customWidth="1"/>
    <col min="514" max="514" width="9" customWidth="1"/>
    <col min="769" max="769" width="12.42578125" customWidth="1"/>
    <col min="770" max="770" width="9" customWidth="1"/>
    <col min="1025" max="1025" width="12.42578125" customWidth="1"/>
    <col min="1026" max="1026" width="9" customWidth="1"/>
    <col min="1281" max="1281" width="12.42578125" customWidth="1"/>
    <col min="1282" max="1282" width="9" customWidth="1"/>
    <col min="1537" max="1537" width="12.42578125" customWidth="1"/>
    <col min="1538" max="1538" width="9" customWidth="1"/>
    <col min="1793" max="1793" width="12.42578125" customWidth="1"/>
    <col min="1794" max="1794" width="9" customWidth="1"/>
    <col min="2049" max="2049" width="12.42578125" customWidth="1"/>
    <col min="2050" max="2050" width="9" customWidth="1"/>
    <col min="2305" max="2305" width="12.42578125" customWidth="1"/>
    <col min="2306" max="2306" width="9" customWidth="1"/>
    <col min="2561" max="2561" width="12.42578125" customWidth="1"/>
    <col min="2562" max="2562" width="9" customWidth="1"/>
    <col min="2817" max="2817" width="12.42578125" customWidth="1"/>
    <col min="2818" max="2818" width="9" customWidth="1"/>
    <col min="3073" max="3073" width="12.42578125" customWidth="1"/>
    <col min="3074" max="3074" width="9" customWidth="1"/>
    <col min="3329" max="3329" width="12.42578125" customWidth="1"/>
    <col min="3330" max="3330" width="9" customWidth="1"/>
    <col min="3585" max="3585" width="12.42578125" customWidth="1"/>
    <col min="3586" max="3586" width="9" customWidth="1"/>
    <col min="3841" max="3841" width="12.42578125" customWidth="1"/>
    <col min="3842" max="3842" width="9" customWidth="1"/>
    <col min="4097" max="4097" width="12.42578125" customWidth="1"/>
    <col min="4098" max="4098" width="9" customWidth="1"/>
    <col min="4353" max="4353" width="12.42578125" customWidth="1"/>
    <col min="4354" max="4354" width="9" customWidth="1"/>
    <col min="4609" max="4609" width="12.42578125" customWidth="1"/>
    <col min="4610" max="4610" width="9" customWidth="1"/>
    <col min="4865" max="4865" width="12.42578125" customWidth="1"/>
    <col min="4866" max="4866" width="9" customWidth="1"/>
    <col min="5121" max="5121" width="12.42578125" customWidth="1"/>
    <col min="5122" max="5122" width="9" customWidth="1"/>
    <col min="5377" max="5377" width="12.42578125" customWidth="1"/>
    <col min="5378" max="5378" width="9" customWidth="1"/>
    <col min="5633" max="5633" width="12.42578125" customWidth="1"/>
    <col min="5634" max="5634" width="9" customWidth="1"/>
    <col min="5889" max="5889" width="12.42578125" customWidth="1"/>
    <col min="5890" max="5890" width="9" customWidth="1"/>
    <col min="6145" max="6145" width="12.42578125" customWidth="1"/>
    <col min="6146" max="6146" width="9" customWidth="1"/>
    <col min="6401" max="6401" width="12.42578125" customWidth="1"/>
    <col min="6402" max="6402" width="9" customWidth="1"/>
    <col min="6657" max="6657" width="12.42578125" customWidth="1"/>
    <col min="6658" max="6658" width="9" customWidth="1"/>
    <col min="6913" max="6913" width="12.42578125" customWidth="1"/>
    <col min="6914" max="6914" width="9" customWidth="1"/>
    <col min="7169" max="7169" width="12.42578125" customWidth="1"/>
    <col min="7170" max="7170" width="9" customWidth="1"/>
    <col min="7425" max="7425" width="12.42578125" customWidth="1"/>
    <col min="7426" max="7426" width="9" customWidth="1"/>
    <col min="7681" max="7681" width="12.42578125" customWidth="1"/>
    <col min="7682" max="7682" width="9" customWidth="1"/>
    <col min="7937" max="7937" width="12.42578125" customWidth="1"/>
    <col min="7938" max="7938" width="9" customWidth="1"/>
    <col min="8193" max="8193" width="12.42578125" customWidth="1"/>
    <col min="8194" max="8194" width="9" customWidth="1"/>
    <col min="8449" max="8449" width="12.42578125" customWidth="1"/>
    <col min="8450" max="8450" width="9" customWidth="1"/>
    <col min="8705" max="8705" width="12.42578125" customWidth="1"/>
    <col min="8706" max="8706" width="9" customWidth="1"/>
    <col min="8961" max="8961" width="12.42578125" customWidth="1"/>
    <col min="8962" max="8962" width="9" customWidth="1"/>
    <col min="9217" max="9217" width="12.42578125" customWidth="1"/>
    <col min="9218" max="9218" width="9" customWidth="1"/>
    <col min="9473" max="9473" width="12.42578125" customWidth="1"/>
    <col min="9474" max="9474" width="9" customWidth="1"/>
    <col min="9729" max="9729" width="12.42578125" customWidth="1"/>
    <col min="9730" max="9730" width="9" customWidth="1"/>
    <col min="9985" max="9985" width="12.42578125" customWidth="1"/>
    <col min="9986" max="9986" width="9" customWidth="1"/>
    <col min="10241" max="10241" width="12.42578125" customWidth="1"/>
    <col min="10242" max="10242" width="9" customWidth="1"/>
    <col min="10497" max="10497" width="12.42578125" customWidth="1"/>
    <col min="10498" max="10498" width="9" customWidth="1"/>
    <col min="10753" max="10753" width="12.42578125" customWidth="1"/>
    <col min="10754" max="10754" width="9" customWidth="1"/>
    <col min="11009" max="11009" width="12.42578125" customWidth="1"/>
    <col min="11010" max="11010" width="9" customWidth="1"/>
    <col min="11265" max="11265" width="12.42578125" customWidth="1"/>
    <col min="11266" max="11266" width="9" customWidth="1"/>
    <col min="11521" max="11521" width="12.42578125" customWidth="1"/>
    <col min="11522" max="11522" width="9" customWidth="1"/>
    <col min="11777" max="11777" width="12.42578125" customWidth="1"/>
    <col min="11778" max="11778" width="9" customWidth="1"/>
    <col min="12033" max="12033" width="12.42578125" customWidth="1"/>
    <col min="12034" max="12034" width="9" customWidth="1"/>
    <col min="12289" max="12289" width="12.42578125" customWidth="1"/>
    <col min="12290" max="12290" width="9" customWidth="1"/>
    <col min="12545" max="12545" width="12.42578125" customWidth="1"/>
    <col min="12546" max="12546" width="9" customWidth="1"/>
    <col min="12801" max="12801" width="12.42578125" customWidth="1"/>
    <col min="12802" max="12802" width="9" customWidth="1"/>
    <col min="13057" max="13057" width="12.42578125" customWidth="1"/>
    <col min="13058" max="13058" width="9" customWidth="1"/>
    <col min="13313" max="13313" width="12.42578125" customWidth="1"/>
    <col min="13314" max="13314" width="9" customWidth="1"/>
    <col min="13569" max="13569" width="12.42578125" customWidth="1"/>
    <col min="13570" max="13570" width="9" customWidth="1"/>
    <col min="13825" max="13825" width="12.42578125" customWidth="1"/>
    <col min="13826" max="13826" width="9" customWidth="1"/>
    <col min="14081" max="14081" width="12.42578125" customWidth="1"/>
    <col min="14082" max="14082" width="9" customWidth="1"/>
    <col min="14337" max="14337" width="12.42578125" customWidth="1"/>
    <col min="14338" max="14338" width="9" customWidth="1"/>
    <col min="14593" max="14593" width="12.42578125" customWidth="1"/>
    <col min="14594" max="14594" width="9" customWidth="1"/>
    <col min="14849" max="14849" width="12.42578125" customWidth="1"/>
    <col min="14850" max="14850" width="9" customWidth="1"/>
    <col min="15105" max="15105" width="12.42578125" customWidth="1"/>
    <col min="15106" max="15106" width="9" customWidth="1"/>
    <col min="15361" max="15361" width="12.42578125" customWidth="1"/>
    <col min="15362" max="15362" width="9" customWidth="1"/>
    <col min="15617" max="15617" width="12.42578125" customWidth="1"/>
    <col min="15618" max="15618" width="9" customWidth="1"/>
    <col min="15873" max="15873" width="12.42578125" customWidth="1"/>
    <col min="15874" max="15874" width="9" customWidth="1"/>
    <col min="16129" max="16129" width="12.42578125" customWidth="1"/>
    <col min="16130" max="16130" width="9" customWidth="1"/>
  </cols>
  <sheetData>
    <row r="1" spans="1:13" ht="18" x14ac:dyDescent="0.25">
      <c r="A1" s="29" t="s">
        <v>148</v>
      </c>
      <c r="B1" s="29"/>
      <c r="C1" s="30"/>
      <c r="D1" s="29"/>
      <c r="F1" s="29"/>
      <c r="G1" s="29">
        <f>RESULTS!I1</f>
        <v>2016</v>
      </c>
      <c r="H1" s="15"/>
      <c r="I1" s="29" t="s">
        <v>38</v>
      </c>
      <c r="J1" s="15"/>
      <c r="K1" s="15"/>
      <c r="L1" s="31">
        <v>1</v>
      </c>
    </row>
    <row r="2" spans="1:13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32"/>
    </row>
    <row r="3" spans="1:13" x14ac:dyDescent="0.25">
      <c r="A3" s="33" t="s">
        <v>39</v>
      </c>
      <c r="C3" s="34" t="s">
        <v>40</v>
      </c>
      <c r="D3" s="34"/>
      <c r="E3" s="34" t="s">
        <v>41</v>
      </c>
      <c r="F3" s="34"/>
      <c r="H3" s="34" t="s">
        <v>42</v>
      </c>
      <c r="K3" s="35" t="s">
        <v>43</v>
      </c>
      <c r="L3">
        <f>C4*L1</f>
        <v>6</v>
      </c>
    </row>
    <row r="4" spans="1:13" x14ac:dyDescent="0.25">
      <c r="C4" s="36">
        <f>QUALITY!H36</f>
        <v>6</v>
      </c>
      <c r="D4" s="37"/>
      <c r="E4" s="37">
        <f>QUALITY!O36</f>
        <v>206</v>
      </c>
      <c r="F4" s="37"/>
      <c r="H4" s="37">
        <f>E4*C4</f>
        <v>1236</v>
      </c>
      <c r="K4" s="35" t="s">
        <v>44</v>
      </c>
      <c r="L4">
        <f>L3-L6</f>
        <v>6</v>
      </c>
    </row>
    <row r="5" spans="1:13" x14ac:dyDescent="0.25">
      <c r="K5" s="35"/>
    </row>
    <row r="6" spans="1:13" x14ac:dyDescent="0.25">
      <c r="K6" s="35" t="s">
        <v>45</v>
      </c>
      <c r="L6" s="37">
        <v>0</v>
      </c>
    </row>
    <row r="7" spans="1:13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3" x14ac:dyDescent="0.25">
      <c r="A8" s="33" t="s">
        <v>46</v>
      </c>
    </row>
    <row r="10" spans="1:13" x14ac:dyDescent="0.25">
      <c r="A10" t="s">
        <v>149</v>
      </c>
      <c r="C10">
        <f>C4</f>
        <v>6</v>
      </c>
      <c r="E10" s="37">
        <f>QUALITY!P36</f>
        <v>26.68</v>
      </c>
      <c r="H10">
        <f>E10*C10</f>
        <v>160.07999999999998</v>
      </c>
      <c r="K10" s="35" t="s">
        <v>47</v>
      </c>
      <c r="L10">
        <f>L4*E4</f>
        <v>1236</v>
      </c>
    </row>
    <row r="11" spans="1:13" x14ac:dyDescent="0.25">
      <c r="A11" t="s">
        <v>150</v>
      </c>
      <c r="C11">
        <f>C4</f>
        <v>6</v>
      </c>
      <c r="E11" s="37">
        <v>0</v>
      </c>
      <c r="H11">
        <f>E11*C11</f>
        <v>0</v>
      </c>
      <c r="K11" s="35" t="s">
        <v>48</v>
      </c>
      <c r="L11">
        <f>L4*E15</f>
        <v>160.07999999999998</v>
      </c>
    </row>
    <row r="12" spans="1:13" x14ac:dyDescent="0.25">
      <c r="A12">
        <v>3</v>
      </c>
      <c r="C12">
        <f>C4</f>
        <v>6</v>
      </c>
      <c r="E12" s="37">
        <v>0</v>
      </c>
      <c r="H12">
        <f>E12*C12</f>
        <v>0</v>
      </c>
      <c r="K12" s="35"/>
    </row>
    <row r="13" spans="1:13" x14ac:dyDescent="0.25">
      <c r="A13">
        <v>4</v>
      </c>
      <c r="C13">
        <f>C4</f>
        <v>6</v>
      </c>
      <c r="E13" s="37">
        <v>0</v>
      </c>
      <c r="H13">
        <f>E13*C13</f>
        <v>0</v>
      </c>
      <c r="K13" s="35" t="s">
        <v>49</v>
      </c>
      <c r="L13">
        <f>L10-L11</f>
        <v>1075.92</v>
      </c>
    </row>
    <row r="14" spans="1:13" x14ac:dyDescent="0.25">
      <c r="K14" s="35"/>
    </row>
    <row r="15" spans="1:13" x14ac:dyDescent="0.25">
      <c r="C15" s="33" t="s">
        <v>50</v>
      </c>
      <c r="E15">
        <f>SUM(E10:E13)</f>
        <v>26.68</v>
      </c>
      <c r="H15">
        <f>SUM(H10:H13)</f>
        <v>160.07999999999998</v>
      </c>
      <c r="K15" s="35" t="s">
        <v>51</v>
      </c>
      <c r="L15">
        <f>L13*M15</f>
        <v>1075.92</v>
      </c>
      <c r="M15" s="38">
        <v>1</v>
      </c>
    </row>
    <row r="16" spans="1:13" x14ac:dyDescent="0.25">
      <c r="K16" s="35" t="s">
        <v>52</v>
      </c>
      <c r="L16">
        <f>L13*M16</f>
        <v>0</v>
      </c>
      <c r="M16" s="38">
        <v>0</v>
      </c>
    </row>
    <row r="17" spans="1:13" x14ac:dyDescent="0.25">
      <c r="C17" s="33" t="s">
        <v>53</v>
      </c>
      <c r="E17">
        <f>E4-E15</f>
        <v>179.32</v>
      </c>
      <c r="H17">
        <f>H4-H15</f>
        <v>1075.92</v>
      </c>
      <c r="K17" s="35" t="s">
        <v>54</v>
      </c>
      <c r="L17">
        <f>L13*M17</f>
        <v>0</v>
      </c>
      <c r="M17" s="38">
        <v>0</v>
      </c>
    </row>
    <row r="18" spans="1:13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20" spans="1:13" x14ac:dyDescent="0.25">
      <c r="A20" s="33" t="s">
        <v>55</v>
      </c>
      <c r="C20" s="34" t="s">
        <v>56</v>
      </c>
      <c r="D20" s="34" t="s">
        <v>57</v>
      </c>
      <c r="E20" s="34" t="s">
        <v>58</v>
      </c>
      <c r="F20" s="34" t="s">
        <v>57</v>
      </c>
      <c r="G20" s="34"/>
      <c r="H20" s="34" t="s">
        <v>59</v>
      </c>
    </row>
    <row r="22" spans="1:13" x14ac:dyDescent="0.25">
      <c r="A22" t="s">
        <v>60</v>
      </c>
      <c r="C22" s="37">
        <v>68</v>
      </c>
      <c r="D22" t="s">
        <v>61</v>
      </c>
      <c r="E22" s="37">
        <f>E4/1000</f>
        <v>0.20599999999999999</v>
      </c>
      <c r="F22" t="s">
        <v>62</v>
      </c>
      <c r="H22">
        <f>C22*E22</f>
        <v>14.007999999999999</v>
      </c>
      <c r="I22" s="48"/>
      <c r="L22" s="39">
        <f>H22*$L$1</f>
        <v>14.007999999999999</v>
      </c>
    </row>
    <row r="23" spans="1:13" x14ac:dyDescent="0.25">
      <c r="A23" t="s">
        <v>63</v>
      </c>
      <c r="C23" s="37">
        <f>'COO BR'!C23</f>
        <v>70</v>
      </c>
      <c r="D23" t="s">
        <v>95</v>
      </c>
      <c r="E23" s="37">
        <f>'COO BR'!E23</f>
        <v>50</v>
      </c>
      <c r="F23" t="s">
        <v>70</v>
      </c>
      <c r="H23">
        <f>E23*C23/1000</f>
        <v>3.5</v>
      </c>
      <c r="L23" s="39">
        <f t="shared" ref="L23:L34" si="0">H23*$L$1</f>
        <v>3.5</v>
      </c>
    </row>
    <row r="24" spans="1:13" x14ac:dyDescent="0.25">
      <c r="A24" t="s">
        <v>64</v>
      </c>
      <c r="B24" s="40" t="str">
        <f>'COO BR'!B24</f>
        <v>DAP</v>
      </c>
      <c r="C24" s="37">
        <f>'COO BR'!C24</f>
        <v>100</v>
      </c>
      <c r="D24" t="s">
        <v>61</v>
      </c>
      <c r="E24" s="37">
        <f>'COO BR'!E24</f>
        <v>998</v>
      </c>
      <c r="F24" t="s">
        <v>65</v>
      </c>
      <c r="H24">
        <f>C24*E24/1000</f>
        <v>99.8</v>
      </c>
      <c r="L24" s="39">
        <f t="shared" si="0"/>
        <v>99.8</v>
      </c>
    </row>
    <row r="25" spans="1:13" x14ac:dyDescent="0.25">
      <c r="A25" t="s">
        <v>66</v>
      </c>
      <c r="B25" s="40" t="str">
        <f>'COO BR'!B25</f>
        <v>UAN</v>
      </c>
      <c r="C25" s="37">
        <v>100</v>
      </c>
      <c r="D25" t="s">
        <v>69</v>
      </c>
      <c r="E25" s="37">
        <f>'COO BR'!E25</f>
        <v>750</v>
      </c>
      <c r="F25" t="s">
        <v>133</v>
      </c>
      <c r="H25">
        <f>C25*E25/1000</f>
        <v>75</v>
      </c>
      <c r="L25" s="39">
        <f>H25*L1</f>
        <v>75</v>
      </c>
    </row>
    <row r="26" spans="1:13" x14ac:dyDescent="0.25">
      <c r="A26" t="s">
        <v>68</v>
      </c>
      <c r="B26" s="40" t="str">
        <f>'COO BR'!B26</f>
        <v>Ultramax</v>
      </c>
      <c r="C26" s="37">
        <f>'COO BR'!C26</f>
        <v>2</v>
      </c>
      <c r="D26" t="s">
        <v>69</v>
      </c>
      <c r="E26" s="37">
        <f>'COO BR'!E26</f>
        <v>8</v>
      </c>
      <c r="F26" t="s">
        <v>70</v>
      </c>
      <c r="H26">
        <f>E26*C26</f>
        <v>16</v>
      </c>
      <c r="L26" s="39">
        <f t="shared" si="0"/>
        <v>16</v>
      </c>
    </row>
    <row r="27" spans="1:13" x14ac:dyDescent="0.25">
      <c r="A27" t="s">
        <v>71</v>
      </c>
      <c r="B27" s="40" t="str">
        <f>'COO BR'!B27</f>
        <v>Striker</v>
      </c>
      <c r="C27" s="37">
        <f>'COO BR'!C27</f>
        <v>0.15</v>
      </c>
      <c r="D27" t="s">
        <v>69</v>
      </c>
      <c r="E27" s="37">
        <f>'COO BR'!E27</f>
        <v>50</v>
      </c>
      <c r="F27" t="s">
        <v>70</v>
      </c>
      <c r="H27">
        <f>E27*C27</f>
        <v>7.5</v>
      </c>
      <c r="L27" s="39">
        <f t="shared" si="0"/>
        <v>7.5</v>
      </c>
    </row>
    <row r="28" spans="1:13" x14ac:dyDescent="0.25">
      <c r="A28" t="s">
        <v>72</v>
      </c>
      <c r="B28" s="40" t="str">
        <f>'COO BR'!B28</f>
        <v>Jedi Duo</v>
      </c>
      <c r="C28" s="37">
        <f>'COO BR'!C28</f>
        <v>1.8</v>
      </c>
      <c r="D28" t="s">
        <v>69</v>
      </c>
      <c r="E28" s="37">
        <f>'COO BR'!E28</f>
        <v>20</v>
      </c>
      <c r="F28" t="s">
        <v>70</v>
      </c>
      <c r="H28">
        <f>E28*C28</f>
        <v>36</v>
      </c>
      <c r="L28" s="39">
        <f t="shared" si="0"/>
        <v>36</v>
      </c>
    </row>
    <row r="29" spans="1:13" x14ac:dyDescent="0.25">
      <c r="A29" t="s">
        <v>73</v>
      </c>
      <c r="B29" s="40" t="str">
        <f>'COO BR'!B29</f>
        <v>MCPA</v>
      </c>
      <c r="C29" s="37">
        <f>'COO BR'!C29</f>
        <v>0.5</v>
      </c>
      <c r="D29" t="s">
        <v>69</v>
      </c>
      <c r="E29" s="37">
        <f>'COO BR'!E29</f>
        <v>11</v>
      </c>
      <c r="F29" t="s">
        <v>70</v>
      </c>
      <c r="H29">
        <f>E29*C29</f>
        <v>5.5</v>
      </c>
      <c r="L29" s="39">
        <f t="shared" si="0"/>
        <v>5.5</v>
      </c>
    </row>
    <row r="30" spans="1:13" x14ac:dyDescent="0.25">
      <c r="A30" t="s">
        <v>74</v>
      </c>
      <c r="B30" s="40" t="str">
        <f>'COO BR'!B30</f>
        <v>Lontrel</v>
      </c>
      <c r="C30" s="37">
        <f>'COO BR'!C30</f>
        <v>0.125</v>
      </c>
      <c r="D30" t="s">
        <v>69</v>
      </c>
      <c r="E30" s="37">
        <f>'COO BR'!E30</f>
        <v>20</v>
      </c>
      <c r="F30" t="s">
        <v>70</v>
      </c>
      <c r="H30">
        <f t="shared" ref="H30:H31" si="1">E30*C30</f>
        <v>2.5</v>
      </c>
      <c r="L30" s="39">
        <f t="shared" si="0"/>
        <v>2.5</v>
      </c>
    </row>
    <row r="31" spans="1:13" x14ac:dyDescent="0.25">
      <c r="A31" t="s">
        <v>96</v>
      </c>
      <c r="B31" s="40" t="str">
        <f>'COO BR'!B31</f>
        <v>Tilt</v>
      </c>
      <c r="C31" s="37">
        <f>'COO BR'!C31</f>
        <v>0</v>
      </c>
      <c r="D31" t="s">
        <v>69</v>
      </c>
      <c r="E31" s="37">
        <f>'COO BR'!E31</f>
        <v>16</v>
      </c>
      <c r="F31" t="s">
        <v>70</v>
      </c>
      <c r="H31">
        <f t="shared" si="1"/>
        <v>0</v>
      </c>
      <c r="L31" s="39">
        <f t="shared" si="0"/>
        <v>0</v>
      </c>
    </row>
    <row r="32" spans="1:13" x14ac:dyDescent="0.25">
      <c r="A32" t="s">
        <v>75</v>
      </c>
      <c r="C32" s="41">
        <v>0.01</v>
      </c>
      <c r="E32" s="45"/>
      <c r="H32" s="42">
        <f>C32*H4</f>
        <v>12.36</v>
      </c>
      <c r="L32" s="39">
        <f t="shared" si="0"/>
        <v>12.36</v>
      </c>
    </row>
    <row r="33" spans="1:12" x14ac:dyDescent="0.25">
      <c r="A33" t="s">
        <v>76</v>
      </c>
      <c r="C33" s="43">
        <f>C13</f>
        <v>6</v>
      </c>
      <c r="D33" t="s">
        <v>77</v>
      </c>
      <c r="E33" s="37">
        <v>0</v>
      </c>
      <c r="F33" t="s">
        <v>65</v>
      </c>
      <c r="H33" s="39">
        <f>E33*C33</f>
        <v>0</v>
      </c>
      <c r="L33" s="39">
        <f t="shared" si="0"/>
        <v>0</v>
      </c>
    </row>
    <row r="34" spans="1:12" x14ac:dyDescent="0.25">
      <c r="A34" t="s">
        <v>78</v>
      </c>
      <c r="C34" s="37">
        <f>'COO BR'!C34</f>
        <v>9</v>
      </c>
      <c r="D34" t="s">
        <v>69</v>
      </c>
      <c r="E34" s="37">
        <f>'COO BR'!E34</f>
        <v>1.5</v>
      </c>
      <c r="F34" t="s">
        <v>70</v>
      </c>
      <c r="H34">
        <f>E34*C34</f>
        <v>13.5</v>
      </c>
      <c r="L34" s="39">
        <f t="shared" si="0"/>
        <v>13.5</v>
      </c>
    </row>
    <row r="35" spans="1:12" x14ac:dyDescent="0.25">
      <c r="C35" s="44"/>
      <c r="E35" s="45"/>
      <c r="L35" s="39"/>
    </row>
    <row r="36" spans="1:12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8" spans="1:12" x14ac:dyDescent="0.25">
      <c r="F38" s="46" t="s">
        <v>79</v>
      </c>
      <c r="H38" s="47">
        <f>SUM(H22:H36)</f>
        <v>285.66800000000001</v>
      </c>
      <c r="K38" s="46" t="s">
        <v>80</v>
      </c>
      <c r="L38" s="39">
        <f>SUM(L22:L37)</f>
        <v>285.66800000000001</v>
      </c>
    </row>
    <row r="39" spans="1:12" x14ac:dyDescent="0.25">
      <c r="H39" s="47"/>
      <c r="K39" s="46"/>
      <c r="L39" s="39"/>
    </row>
    <row r="40" spans="1:12" x14ac:dyDescent="0.25">
      <c r="H40" s="47"/>
      <c r="K40" s="46" t="s">
        <v>81</v>
      </c>
      <c r="L40" s="39">
        <f>L13-L38</f>
        <v>790.25200000000007</v>
      </c>
    </row>
    <row r="41" spans="1:12" x14ac:dyDescent="0.25">
      <c r="H41" s="47"/>
      <c r="K41" s="46" t="s">
        <v>82</v>
      </c>
      <c r="L41" s="39">
        <f>L6*E17</f>
        <v>0</v>
      </c>
    </row>
    <row r="42" spans="1:12" x14ac:dyDescent="0.25">
      <c r="H42" s="47"/>
      <c r="K42" s="46"/>
      <c r="L42" s="39"/>
    </row>
    <row r="43" spans="1:12" x14ac:dyDescent="0.25">
      <c r="F43" s="46" t="s">
        <v>83</v>
      </c>
      <c r="H43" s="47">
        <f>H17-H38</f>
        <v>790.25200000000007</v>
      </c>
      <c r="K43" s="46" t="s">
        <v>84</v>
      </c>
      <c r="L43" s="39">
        <f>L40+L41</f>
        <v>790.25200000000007</v>
      </c>
    </row>
    <row r="44" spans="1:12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6" spans="1:12" x14ac:dyDescent="0.25">
      <c r="A46" s="33" t="s">
        <v>85</v>
      </c>
      <c r="C46" s="47">
        <f>H38/E4</f>
        <v>1.38673786407767</v>
      </c>
    </row>
    <row r="47" spans="1:12" x14ac:dyDescent="0.25">
      <c r="C47" s="47"/>
    </row>
    <row r="48" spans="1:12" x14ac:dyDescent="0.25">
      <c r="A48" s="33" t="s">
        <v>86</v>
      </c>
      <c r="C48" s="47">
        <f>H38/C4</f>
        <v>47.611333333333334</v>
      </c>
    </row>
    <row r="49" spans="1:12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1" spans="1:12" x14ac:dyDescent="0.25">
      <c r="A51" s="33" t="s">
        <v>87</v>
      </c>
      <c r="E51" s="35" t="s">
        <v>88</v>
      </c>
      <c r="F51" s="53">
        <f>H38</f>
        <v>285.66800000000001</v>
      </c>
      <c r="G51" t="s">
        <v>89</v>
      </c>
    </row>
    <row r="53" spans="1:12" x14ac:dyDescent="0.25">
      <c r="A53" t="s">
        <v>101</v>
      </c>
      <c r="C53" s="37"/>
    </row>
    <row r="54" spans="1:12" x14ac:dyDescent="0.25">
      <c r="A54" t="s">
        <v>106</v>
      </c>
      <c r="C54" s="37"/>
    </row>
    <row r="55" spans="1:12" x14ac:dyDescent="0.25">
      <c r="E55" s="34" t="s">
        <v>91</v>
      </c>
    </row>
    <row r="56" spans="1:12" x14ac:dyDescent="0.25">
      <c r="C56" s="46" t="s">
        <v>90</v>
      </c>
      <c r="D56" s="33">
        <f>MIN(QUALITY!$O$36:$O$39)</f>
        <v>153</v>
      </c>
      <c r="E56" s="55">
        <f>AVERAGE(QUALITY!$O$36:$O$39)</f>
        <v>188.25</v>
      </c>
      <c r="F56" s="33">
        <f>MAX(QUALITY!$O$36:$O$39)</f>
        <v>206</v>
      </c>
    </row>
    <row r="57" spans="1:12" x14ac:dyDescent="0.25">
      <c r="A57" s="33" t="s">
        <v>92</v>
      </c>
      <c r="C57" s="33">
        <f>MAX(QUALITY!$H$36:$H$39)</f>
        <v>6.6</v>
      </c>
      <c r="D57" s="39">
        <f>C57*(D56-$E$15)-$H$38</f>
        <v>548.04399999999987</v>
      </c>
      <c r="E57" s="39">
        <f>C57*(E56-$E$15)-$H$38</f>
        <v>780.69399999999985</v>
      </c>
      <c r="F57" s="39">
        <f>C57*(F56-$E$15)-$H$38</f>
        <v>897.84399999999994</v>
      </c>
    </row>
    <row r="58" spans="1:12" x14ac:dyDescent="0.25">
      <c r="A58" s="33" t="s">
        <v>93</v>
      </c>
      <c r="C58" s="52">
        <f>AVERAGE(QUALITY!$H$36:$H$39)</f>
        <v>5.8249999999999993</v>
      </c>
      <c r="D58" s="39">
        <f>C58*(D56-$E$15)-$H$38</f>
        <v>450.14599999999984</v>
      </c>
      <c r="E58" s="39">
        <f>C58*(E56-$E$15)-$H$38</f>
        <v>655.4772499999998</v>
      </c>
      <c r="F58" s="39">
        <f>C58*(F56-$E$15)-$H$38</f>
        <v>758.87099999999975</v>
      </c>
    </row>
    <row r="59" spans="1:12" x14ac:dyDescent="0.25">
      <c r="A59" s="33" t="s">
        <v>94</v>
      </c>
      <c r="C59" s="33">
        <f>MIN(QUALITY!$H$36:$H$39)</f>
        <v>5.0999999999999996</v>
      </c>
      <c r="D59" s="39">
        <f>C59*(D56-$E$15)-$H$38</f>
        <v>358.56399999999996</v>
      </c>
      <c r="E59" s="39">
        <f>C59*(E56-$E$15)-$H$38</f>
        <v>538.33899999999994</v>
      </c>
      <c r="F59" s="39">
        <f>C59*(F56-$E$15)-$H$38</f>
        <v>628.86399999999992</v>
      </c>
    </row>
    <row r="60" spans="1:12" x14ac:dyDescent="0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workbookViewId="0"/>
  </sheetViews>
  <sheetFormatPr defaultRowHeight="15" x14ac:dyDescent="0.25"/>
  <cols>
    <col min="1" max="1" width="12.42578125" customWidth="1"/>
    <col min="2" max="2" width="9" customWidth="1"/>
    <col min="257" max="257" width="12.42578125" customWidth="1"/>
    <col min="258" max="258" width="9" customWidth="1"/>
    <col min="513" max="513" width="12.42578125" customWidth="1"/>
    <col min="514" max="514" width="9" customWidth="1"/>
    <col min="769" max="769" width="12.42578125" customWidth="1"/>
    <col min="770" max="770" width="9" customWidth="1"/>
    <col min="1025" max="1025" width="12.42578125" customWidth="1"/>
    <col min="1026" max="1026" width="9" customWidth="1"/>
    <col min="1281" max="1281" width="12.42578125" customWidth="1"/>
    <col min="1282" max="1282" width="9" customWidth="1"/>
    <col min="1537" max="1537" width="12.42578125" customWidth="1"/>
    <col min="1538" max="1538" width="9" customWidth="1"/>
    <col min="1793" max="1793" width="12.42578125" customWidth="1"/>
    <col min="1794" max="1794" width="9" customWidth="1"/>
    <col min="2049" max="2049" width="12.42578125" customWidth="1"/>
    <col min="2050" max="2050" width="9" customWidth="1"/>
    <col min="2305" max="2305" width="12.42578125" customWidth="1"/>
    <col min="2306" max="2306" width="9" customWidth="1"/>
    <col min="2561" max="2561" width="12.42578125" customWidth="1"/>
    <col min="2562" max="2562" width="9" customWidth="1"/>
    <col min="2817" max="2817" width="12.42578125" customWidth="1"/>
    <col min="2818" max="2818" width="9" customWidth="1"/>
    <col min="3073" max="3073" width="12.42578125" customWidth="1"/>
    <col min="3074" max="3074" width="9" customWidth="1"/>
    <col min="3329" max="3329" width="12.42578125" customWidth="1"/>
    <col min="3330" max="3330" width="9" customWidth="1"/>
    <col min="3585" max="3585" width="12.42578125" customWidth="1"/>
    <col min="3586" max="3586" width="9" customWidth="1"/>
    <col min="3841" max="3841" width="12.42578125" customWidth="1"/>
    <col min="3842" max="3842" width="9" customWidth="1"/>
    <col min="4097" max="4097" width="12.42578125" customWidth="1"/>
    <col min="4098" max="4098" width="9" customWidth="1"/>
    <col min="4353" max="4353" width="12.42578125" customWidth="1"/>
    <col min="4354" max="4354" width="9" customWidth="1"/>
    <col min="4609" max="4609" width="12.42578125" customWidth="1"/>
    <col min="4610" max="4610" width="9" customWidth="1"/>
    <col min="4865" max="4865" width="12.42578125" customWidth="1"/>
    <col min="4866" max="4866" width="9" customWidth="1"/>
    <col min="5121" max="5121" width="12.42578125" customWidth="1"/>
    <col min="5122" max="5122" width="9" customWidth="1"/>
    <col min="5377" max="5377" width="12.42578125" customWidth="1"/>
    <col min="5378" max="5378" width="9" customWidth="1"/>
    <col min="5633" max="5633" width="12.42578125" customWidth="1"/>
    <col min="5634" max="5634" width="9" customWidth="1"/>
    <col min="5889" max="5889" width="12.42578125" customWidth="1"/>
    <col min="5890" max="5890" width="9" customWidth="1"/>
    <col min="6145" max="6145" width="12.42578125" customWidth="1"/>
    <col min="6146" max="6146" width="9" customWidth="1"/>
    <col min="6401" max="6401" width="12.42578125" customWidth="1"/>
    <col min="6402" max="6402" width="9" customWidth="1"/>
    <col min="6657" max="6657" width="12.42578125" customWidth="1"/>
    <col min="6658" max="6658" width="9" customWidth="1"/>
    <col min="6913" max="6913" width="12.42578125" customWidth="1"/>
    <col min="6914" max="6914" width="9" customWidth="1"/>
    <col min="7169" max="7169" width="12.42578125" customWidth="1"/>
    <col min="7170" max="7170" width="9" customWidth="1"/>
    <col min="7425" max="7425" width="12.42578125" customWidth="1"/>
    <col min="7426" max="7426" width="9" customWidth="1"/>
    <col min="7681" max="7681" width="12.42578125" customWidth="1"/>
    <col min="7682" max="7682" width="9" customWidth="1"/>
    <col min="7937" max="7937" width="12.42578125" customWidth="1"/>
    <col min="7938" max="7938" width="9" customWidth="1"/>
    <col min="8193" max="8193" width="12.42578125" customWidth="1"/>
    <col min="8194" max="8194" width="9" customWidth="1"/>
    <col min="8449" max="8449" width="12.42578125" customWidth="1"/>
    <col min="8450" max="8450" width="9" customWidth="1"/>
    <col min="8705" max="8705" width="12.42578125" customWidth="1"/>
    <col min="8706" max="8706" width="9" customWidth="1"/>
    <col min="8961" max="8961" width="12.42578125" customWidth="1"/>
    <col min="8962" max="8962" width="9" customWidth="1"/>
    <col min="9217" max="9217" width="12.42578125" customWidth="1"/>
    <col min="9218" max="9218" width="9" customWidth="1"/>
    <col min="9473" max="9473" width="12.42578125" customWidth="1"/>
    <col min="9474" max="9474" width="9" customWidth="1"/>
    <col min="9729" max="9729" width="12.42578125" customWidth="1"/>
    <col min="9730" max="9730" width="9" customWidth="1"/>
    <col min="9985" max="9985" width="12.42578125" customWidth="1"/>
    <col min="9986" max="9986" width="9" customWidth="1"/>
    <col min="10241" max="10241" width="12.42578125" customWidth="1"/>
    <col min="10242" max="10242" width="9" customWidth="1"/>
    <col min="10497" max="10497" width="12.42578125" customWidth="1"/>
    <col min="10498" max="10498" width="9" customWidth="1"/>
    <col min="10753" max="10753" width="12.42578125" customWidth="1"/>
    <col min="10754" max="10754" width="9" customWidth="1"/>
    <col min="11009" max="11009" width="12.42578125" customWidth="1"/>
    <col min="11010" max="11010" width="9" customWidth="1"/>
    <col min="11265" max="11265" width="12.42578125" customWidth="1"/>
    <col min="11266" max="11266" width="9" customWidth="1"/>
    <col min="11521" max="11521" width="12.42578125" customWidth="1"/>
    <col min="11522" max="11522" width="9" customWidth="1"/>
    <col min="11777" max="11777" width="12.42578125" customWidth="1"/>
    <col min="11778" max="11778" width="9" customWidth="1"/>
    <col min="12033" max="12033" width="12.42578125" customWidth="1"/>
    <col min="12034" max="12034" width="9" customWidth="1"/>
    <col min="12289" max="12289" width="12.42578125" customWidth="1"/>
    <col min="12290" max="12290" width="9" customWidth="1"/>
    <col min="12545" max="12545" width="12.42578125" customWidth="1"/>
    <col min="12546" max="12546" width="9" customWidth="1"/>
    <col min="12801" max="12801" width="12.42578125" customWidth="1"/>
    <col min="12802" max="12802" width="9" customWidth="1"/>
    <col min="13057" max="13057" width="12.42578125" customWidth="1"/>
    <col min="13058" max="13058" width="9" customWidth="1"/>
    <col min="13313" max="13313" width="12.42578125" customWidth="1"/>
    <col min="13314" max="13314" width="9" customWidth="1"/>
    <col min="13569" max="13569" width="12.42578125" customWidth="1"/>
    <col min="13570" max="13570" width="9" customWidth="1"/>
    <col min="13825" max="13825" width="12.42578125" customWidth="1"/>
    <col min="13826" max="13826" width="9" customWidth="1"/>
    <col min="14081" max="14081" width="12.42578125" customWidth="1"/>
    <col min="14082" max="14082" width="9" customWidth="1"/>
    <col min="14337" max="14337" width="12.42578125" customWidth="1"/>
    <col min="14338" max="14338" width="9" customWidth="1"/>
    <col min="14593" max="14593" width="12.42578125" customWidth="1"/>
    <col min="14594" max="14594" width="9" customWidth="1"/>
    <col min="14849" max="14849" width="12.42578125" customWidth="1"/>
    <col min="14850" max="14850" width="9" customWidth="1"/>
    <col min="15105" max="15105" width="12.42578125" customWidth="1"/>
    <col min="15106" max="15106" width="9" customWidth="1"/>
    <col min="15361" max="15361" width="12.42578125" customWidth="1"/>
    <col min="15362" max="15362" width="9" customWidth="1"/>
    <col min="15617" max="15617" width="12.42578125" customWidth="1"/>
    <col min="15618" max="15618" width="9" customWidth="1"/>
    <col min="15873" max="15873" width="12.42578125" customWidth="1"/>
    <col min="15874" max="15874" width="9" customWidth="1"/>
    <col min="16129" max="16129" width="12.42578125" customWidth="1"/>
    <col min="16130" max="16130" width="9" customWidth="1"/>
  </cols>
  <sheetData>
    <row r="1" spans="1:13" ht="18" x14ac:dyDescent="0.25">
      <c r="A1" s="29" t="s">
        <v>151</v>
      </c>
      <c r="B1" s="29"/>
      <c r="C1" s="30"/>
      <c r="D1" s="29"/>
      <c r="F1" s="29"/>
      <c r="G1" s="29">
        <f>RESULTS!I1</f>
        <v>2016</v>
      </c>
      <c r="H1" s="15"/>
      <c r="I1" s="29" t="s">
        <v>38</v>
      </c>
      <c r="J1" s="15"/>
      <c r="K1" s="15"/>
      <c r="L1" s="31">
        <v>1</v>
      </c>
    </row>
    <row r="2" spans="1:13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32"/>
    </row>
    <row r="3" spans="1:13" x14ac:dyDescent="0.25">
      <c r="A3" s="33" t="s">
        <v>39</v>
      </c>
      <c r="C3" s="34" t="s">
        <v>40</v>
      </c>
      <c r="D3" s="34"/>
      <c r="E3" s="34" t="s">
        <v>41</v>
      </c>
      <c r="F3" s="34"/>
      <c r="H3" s="34" t="s">
        <v>42</v>
      </c>
      <c r="K3" s="35" t="s">
        <v>43</v>
      </c>
      <c r="L3">
        <f>C4*L1</f>
        <v>5.2</v>
      </c>
    </row>
    <row r="4" spans="1:13" x14ac:dyDescent="0.25">
      <c r="C4" s="36">
        <f>QUALITY!H41</f>
        <v>5.2</v>
      </c>
      <c r="D4" s="37"/>
      <c r="E4" s="37">
        <f>QUALITY!O41</f>
        <v>300</v>
      </c>
      <c r="F4" s="37"/>
      <c r="H4" s="37">
        <f>E4*C4</f>
        <v>1560</v>
      </c>
      <c r="K4" s="35" t="s">
        <v>44</v>
      </c>
      <c r="L4">
        <f>L3-L6</f>
        <v>5.2</v>
      </c>
    </row>
    <row r="5" spans="1:13" x14ac:dyDescent="0.25">
      <c r="K5" s="35"/>
    </row>
    <row r="6" spans="1:13" x14ac:dyDescent="0.25">
      <c r="K6" s="35" t="s">
        <v>45</v>
      </c>
      <c r="L6" s="37">
        <v>0</v>
      </c>
    </row>
    <row r="7" spans="1:13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3" x14ac:dyDescent="0.25">
      <c r="A8" s="33" t="s">
        <v>46</v>
      </c>
    </row>
    <row r="10" spans="1:13" x14ac:dyDescent="0.25">
      <c r="A10" t="s">
        <v>152</v>
      </c>
      <c r="C10">
        <f>C4</f>
        <v>5.2</v>
      </c>
      <c r="E10" s="37">
        <f>QUALITY!P41</f>
        <v>52.35</v>
      </c>
      <c r="H10" s="47">
        <f>E10*C10</f>
        <v>272.22000000000003</v>
      </c>
      <c r="K10" s="35" t="s">
        <v>47</v>
      </c>
      <c r="L10">
        <f>L4*E4</f>
        <v>1560</v>
      </c>
    </row>
    <row r="11" spans="1:13" x14ac:dyDescent="0.25">
      <c r="A11" t="s">
        <v>153</v>
      </c>
      <c r="C11">
        <f>C4</f>
        <v>5.2</v>
      </c>
      <c r="E11" s="37">
        <v>0</v>
      </c>
      <c r="H11" s="47">
        <f>E11*C11</f>
        <v>0</v>
      </c>
      <c r="K11" s="35" t="s">
        <v>48</v>
      </c>
      <c r="L11">
        <f>L4*E15</f>
        <v>272.22000000000003</v>
      </c>
    </row>
    <row r="12" spans="1:13" x14ac:dyDescent="0.25">
      <c r="A12" t="s">
        <v>147</v>
      </c>
      <c r="C12">
        <f>C4</f>
        <v>5.2</v>
      </c>
      <c r="E12" s="37">
        <v>0</v>
      </c>
      <c r="H12" s="47">
        <f>E12*C12</f>
        <v>0</v>
      </c>
      <c r="K12" s="35"/>
    </row>
    <row r="13" spans="1:13" x14ac:dyDescent="0.25">
      <c r="A13">
        <v>4</v>
      </c>
      <c r="C13">
        <f>C4</f>
        <v>5.2</v>
      </c>
      <c r="E13" s="37">
        <v>0</v>
      </c>
      <c r="H13" s="47">
        <f>E13*C13</f>
        <v>0</v>
      </c>
      <c r="K13" s="35" t="s">
        <v>49</v>
      </c>
      <c r="L13">
        <f>L10-L11</f>
        <v>1287.78</v>
      </c>
    </row>
    <row r="14" spans="1:13" x14ac:dyDescent="0.25">
      <c r="H14" s="47"/>
      <c r="K14" s="35"/>
    </row>
    <row r="15" spans="1:13" x14ac:dyDescent="0.25">
      <c r="C15" s="33" t="s">
        <v>50</v>
      </c>
      <c r="E15">
        <f>SUM(E10:E13)</f>
        <v>52.35</v>
      </c>
      <c r="H15" s="47">
        <f>SUM(H10:H13)</f>
        <v>272.22000000000003</v>
      </c>
      <c r="K15" s="35" t="s">
        <v>51</v>
      </c>
      <c r="L15">
        <f>L13*M15</f>
        <v>1287.78</v>
      </c>
      <c r="M15" s="38">
        <v>1</v>
      </c>
    </row>
    <row r="16" spans="1:13" x14ac:dyDescent="0.25">
      <c r="H16" s="47"/>
      <c r="K16" s="35" t="s">
        <v>52</v>
      </c>
      <c r="L16">
        <f>L13*M16</f>
        <v>0</v>
      </c>
      <c r="M16" s="38">
        <v>0</v>
      </c>
    </row>
    <row r="17" spans="1:13" x14ac:dyDescent="0.25">
      <c r="C17" s="33" t="s">
        <v>53</v>
      </c>
      <c r="E17">
        <f>E4-E15</f>
        <v>247.65</v>
      </c>
      <c r="H17" s="47">
        <f>H4-H15</f>
        <v>1287.78</v>
      </c>
      <c r="K17" s="35" t="s">
        <v>54</v>
      </c>
      <c r="L17">
        <f>L13*M17</f>
        <v>0</v>
      </c>
      <c r="M17" s="38">
        <v>0</v>
      </c>
    </row>
    <row r="18" spans="1:13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20" spans="1:13" x14ac:dyDescent="0.25">
      <c r="A20" s="33" t="s">
        <v>55</v>
      </c>
      <c r="C20" s="34" t="s">
        <v>56</v>
      </c>
      <c r="D20" s="34" t="s">
        <v>57</v>
      </c>
      <c r="E20" s="34" t="s">
        <v>58</v>
      </c>
      <c r="F20" s="34" t="s">
        <v>57</v>
      </c>
      <c r="G20" s="34"/>
      <c r="H20" s="34" t="s">
        <v>59</v>
      </c>
    </row>
    <row r="22" spans="1:13" x14ac:dyDescent="0.25">
      <c r="A22" t="s">
        <v>60</v>
      </c>
      <c r="C22" s="37">
        <v>80</v>
      </c>
      <c r="D22" t="s">
        <v>61</v>
      </c>
      <c r="E22" s="37">
        <f>E4/1000</f>
        <v>0.3</v>
      </c>
      <c r="F22" t="s">
        <v>62</v>
      </c>
      <c r="H22">
        <f>C22*E22</f>
        <v>24</v>
      </c>
      <c r="I22" s="37"/>
      <c r="L22" s="39">
        <f>H22*$L$1</f>
        <v>24</v>
      </c>
    </row>
    <row r="23" spans="1:13" x14ac:dyDescent="0.25">
      <c r="A23" t="s">
        <v>63</v>
      </c>
      <c r="C23" s="37">
        <v>0</v>
      </c>
      <c r="D23" t="s">
        <v>61</v>
      </c>
      <c r="E23" s="37">
        <f>'COO BR'!E23</f>
        <v>50</v>
      </c>
      <c r="F23" t="s">
        <v>62</v>
      </c>
      <c r="H23">
        <f>E23*C23</f>
        <v>0</v>
      </c>
      <c r="L23" s="39">
        <f t="shared" ref="L23:L33" si="0">H23*$L$1</f>
        <v>0</v>
      </c>
    </row>
    <row r="24" spans="1:13" x14ac:dyDescent="0.25">
      <c r="A24" t="s">
        <v>64</v>
      </c>
      <c r="B24" s="40" t="str">
        <f>'COO BR'!B24</f>
        <v>DAP</v>
      </c>
      <c r="C24" s="37">
        <f>'COO BR'!C24</f>
        <v>100</v>
      </c>
      <c r="D24" t="s">
        <v>61</v>
      </c>
      <c r="E24" s="37">
        <f>'COO BR'!E24</f>
        <v>998</v>
      </c>
      <c r="F24" t="s">
        <v>65</v>
      </c>
      <c r="H24">
        <f>C24*E24/1000</f>
        <v>99.8</v>
      </c>
      <c r="L24" s="39">
        <f t="shared" si="0"/>
        <v>99.8</v>
      </c>
    </row>
    <row r="25" spans="1:13" x14ac:dyDescent="0.25">
      <c r="A25" t="s">
        <v>66</v>
      </c>
      <c r="B25" s="40" t="str">
        <f>'COO BR'!B25</f>
        <v>UAN</v>
      </c>
      <c r="C25" s="37">
        <f>'COO BR'!C25</f>
        <v>0</v>
      </c>
      <c r="D25" t="s">
        <v>67</v>
      </c>
      <c r="E25" s="37">
        <f>'COO BR'!E25</f>
        <v>750</v>
      </c>
      <c r="F25" t="s">
        <v>143</v>
      </c>
      <c r="H25">
        <f>C25*E25/1000</f>
        <v>0</v>
      </c>
      <c r="L25" s="39">
        <f>H25*L1</f>
        <v>0</v>
      </c>
    </row>
    <row r="26" spans="1:13" x14ac:dyDescent="0.25">
      <c r="A26" t="s">
        <v>68</v>
      </c>
      <c r="B26" s="40" t="str">
        <f>'COO BR'!B26</f>
        <v>Ultramax</v>
      </c>
      <c r="C26" s="37">
        <f>'COO BR'!C26</f>
        <v>2</v>
      </c>
      <c r="D26" t="s">
        <v>69</v>
      </c>
      <c r="E26" s="37">
        <f>'COO BR'!E26</f>
        <v>8</v>
      </c>
      <c r="F26" t="s">
        <v>70</v>
      </c>
      <c r="H26">
        <f>E26*C26</f>
        <v>16</v>
      </c>
      <c r="L26" s="39">
        <f t="shared" si="0"/>
        <v>16</v>
      </c>
    </row>
    <row r="27" spans="1:13" x14ac:dyDescent="0.25">
      <c r="A27" t="s">
        <v>71</v>
      </c>
      <c r="B27" s="40" t="str">
        <f>'COO BR'!B27</f>
        <v>Striker</v>
      </c>
      <c r="C27" s="37">
        <f>'COO BR'!C27</f>
        <v>0.15</v>
      </c>
      <c r="D27" t="s">
        <v>69</v>
      </c>
      <c r="E27" s="37">
        <f>'COO BR'!E27</f>
        <v>50</v>
      </c>
      <c r="F27" t="s">
        <v>70</v>
      </c>
      <c r="H27">
        <f>E27*C27</f>
        <v>7.5</v>
      </c>
      <c r="L27" s="39">
        <f t="shared" si="0"/>
        <v>7.5</v>
      </c>
    </row>
    <row r="28" spans="1:13" x14ac:dyDescent="0.25">
      <c r="A28" t="s">
        <v>72</v>
      </c>
      <c r="B28" s="40" t="str">
        <f>'COO BR'!B28</f>
        <v>Jedi Duo</v>
      </c>
      <c r="C28" s="37">
        <f>'COO BR'!C28</f>
        <v>1.8</v>
      </c>
      <c r="D28" t="s">
        <v>69</v>
      </c>
      <c r="E28" s="37">
        <f>'COO BR'!E28</f>
        <v>20</v>
      </c>
      <c r="F28" t="s">
        <v>70</v>
      </c>
      <c r="H28">
        <f>E28*C28</f>
        <v>36</v>
      </c>
      <c r="L28" s="39">
        <f t="shared" si="0"/>
        <v>36</v>
      </c>
    </row>
    <row r="29" spans="1:13" x14ac:dyDescent="0.25">
      <c r="A29" t="s">
        <v>73</v>
      </c>
      <c r="B29" s="40" t="str">
        <f>'COO BR'!B29</f>
        <v>MCPA</v>
      </c>
      <c r="C29" s="37">
        <f>'COO BR'!C29</f>
        <v>0.5</v>
      </c>
      <c r="D29" t="s">
        <v>69</v>
      </c>
      <c r="E29" s="37">
        <f>'COO BR'!E29</f>
        <v>11</v>
      </c>
      <c r="F29" t="s">
        <v>70</v>
      </c>
      <c r="H29">
        <f>E29*C29</f>
        <v>5.5</v>
      </c>
      <c r="L29" s="39">
        <f t="shared" si="0"/>
        <v>5.5</v>
      </c>
    </row>
    <row r="30" spans="1:13" x14ac:dyDescent="0.25">
      <c r="A30" t="s">
        <v>74</v>
      </c>
      <c r="B30" s="40" t="str">
        <f>'COO BR'!B30</f>
        <v>Lontrel</v>
      </c>
      <c r="C30" s="37">
        <f>'COO BR'!C30</f>
        <v>0.125</v>
      </c>
      <c r="D30" t="s">
        <v>69</v>
      </c>
      <c r="E30" s="37">
        <f>'COO BR'!E30</f>
        <v>20</v>
      </c>
      <c r="F30" t="s">
        <v>70</v>
      </c>
      <c r="H30">
        <f>E30*C30</f>
        <v>2.5</v>
      </c>
      <c r="L30" s="39">
        <f t="shared" si="0"/>
        <v>2.5</v>
      </c>
    </row>
    <row r="31" spans="1:13" x14ac:dyDescent="0.25">
      <c r="A31" t="s">
        <v>75</v>
      </c>
      <c r="C31" s="41">
        <v>0.01</v>
      </c>
      <c r="E31" s="37"/>
      <c r="H31" s="42">
        <f>C31*H4</f>
        <v>15.6</v>
      </c>
      <c r="L31" s="39">
        <f t="shared" si="0"/>
        <v>15.6</v>
      </c>
    </row>
    <row r="32" spans="1:13" x14ac:dyDescent="0.25">
      <c r="A32" t="s">
        <v>76</v>
      </c>
      <c r="C32" s="43">
        <f>C13</f>
        <v>5.2</v>
      </c>
      <c r="D32" t="s">
        <v>77</v>
      </c>
      <c r="E32" s="37">
        <v>0</v>
      </c>
      <c r="F32" t="s">
        <v>65</v>
      </c>
      <c r="H32" s="39">
        <f>E32*C32</f>
        <v>0</v>
      </c>
      <c r="L32" s="39">
        <f t="shared" si="0"/>
        <v>0</v>
      </c>
    </row>
    <row r="33" spans="1:12" x14ac:dyDescent="0.25">
      <c r="A33" t="s">
        <v>78</v>
      </c>
      <c r="C33" s="37">
        <f>'COO BR'!C34</f>
        <v>9</v>
      </c>
      <c r="D33" t="s">
        <v>69</v>
      </c>
      <c r="E33" s="37">
        <f>'COO BR'!E34</f>
        <v>1.5</v>
      </c>
      <c r="F33" t="s">
        <v>70</v>
      </c>
      <c r="H33">
        <f>E33*C33</f>
        <v>13.5</v>
      </c>
      <c r="L33" s="39">
        <f t="shared" si="0"/>
        <v>13.5</v>
      </c>
    </row>
    <row r="34" spans="1:12" x14ac:dyDescent="0.25">
      <c r="C34" s="44"/>
      <c r="E34" s="45"/>
      <c r="L34" s="39"/>
    </row>
    <row r="35" spans="1:12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7" spans="1:12" x14ac:dyDescent="0.25">
      <c r="F37" s="46" t="s">
        <v>79</v>
      </c>
      <c r="H37">
        <f>SUM(H22:H35)</f>
        <v>220.4</v>
      </c>
      <c r="K37" s="46" t="s">
        <v>80</v>
      </c>
      <c r="L37" s="39">
        <f>SUM(L22:L36)</f>
        <v>220.4</v>
      </c>
    </row>
    <row r="38" spans="1:12" x14ac:dyDescent="0.25">
      <c r="K38" s="46"/>
      <c r="L38" s="39"/>
    </row>
    <row r="39" spans="1:12" x14ac:dyDescent="0.25">
      <c r="K39" s="46" t="s">
        <v>81</v>
      </c>
      <c r="L39" s="39">
        <f>L13-L37</f>
        <v>1067.3799999999999</v>
      </c>
    </row>
    <row r="40" spans="1:12" x14ac:dyDescent="0.25">
      <c r="K40" s="46" t="s">
        <v>82</v>
      </c>
      <c r="L40" s="39">
        <f>L6*E17</f>
        <v>0</v>
      </c>
    </row>
    <row r="41" spans="1:12" x14ac:dyDescent="0.25">
      <c r="K41" s="46"/>
      <c r="L41" s="39"/>
    </row>
    <row r="42" spans="1:12" x14ac:dyDescent="0.25">
      <c r="F42" s="46" t="s">
        <v>83</v>
      </c>
      <c r="H42" s="47">
        <f>H17-H37</f>
        <v>1067.3799999999999</v>
      </c>
      <c r="K42" s="46" t="s">
        <v>84</v>
      </c>
      <c r="L42" s="39">
        <f>L39+L40</f>
        <v>1067.3799999999999</v>
      </c>
    </row>
    <row r="43" spans="1:12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</row>
    <row r="45" spans="1:12" x14ac:dyDescent="0.25">
      <c r="A45" s="33" t="s">
        <v>85</v>
      </c>
      <c r="C45" s="47">
        <f>H37/E4</f>
        <v>0.73466666666666669</v>
      </c>
    </row>
    <row r="46" spans="1:12" x14ac:dyDescent="0.25">
      <c r="C46" s="47"/>
    </row>
    <row r="47" spans="1:12" x14ac:dyDescent="0.25">
      <c r="A47" s="33" t="s">
        <v>86</v>
      </c>
      <c r="C47" s="47">
        <f>H37/C4</f>
        <v>42.384615384615387</v>
      </c>
    </row>
    <row r="48" spans="1:12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</row>
    <row r="50" spans="1:12" x14ac:dyDescent="0.25">
      <c r="A50" s="33" t="s">
        <v>87</v>
      </c>
      <c r="E50" s="35" t="s">
        <v>88</v>
      </c>
      <c r="F50" s="7">
        <f>H37</f>
        <v>220.4</v>
      </c>
      <c r="G50" t="s">
        <v>89</v>
      </c>
    </row>
    <row r="52" spans="1:12" x14ac:dyDescent="0.25">
      <c r="A52" t="s">
        <v>101</v>
      </c>
      <c r="C52" s="37"/>
    </row>
    <row r="53" spans="1:12" x14ac:dyDescent="0.25">
      <c r="A53" t="s">
        <v>106</v>
      </c>
      <c r="C53" s="37"/>
    </row>
    <row r="54" spans="1:12" x14ac:dyDescent="0.25">
      <c r="E54" s="34" t="s">
        <v>91</v>
      </c>
    </row>
    <row r="55" spans="1:12" x14ac:dyDescent="0.25">
      <c r="C55" s="46" t="s">
        <v>90</v>
      </c>
      <c r="D55" s="33">
        <f>MIN(QUALITY!$O$40:$O$43)</f>
        <v>153</v>
      </c>
      <c r="E55" s="55">
        <f>AVERAGE(QUALITY!$O$40:$O$43)</f>
        <v>226.5</v>
      </c>
      <c r="F55" s="33">
        <f>MAX(QUALITY!$O$40:$O$43)</f>
        <v>300</v>
      </c>
    </row>
    <row r="56" spans="1:12" x14ac:dyDescent="0.25">
      <c r="A56" s="33" t="s">
        <v>92</v>
      </c>
      <c r="C56" s="33">
        <f>MAX(QUALITY!$H$40:$H$43)</f>
        <v>5.7</v>
      </c>
      <c r="D56" s="39">
        <f>C56*(D55-$E$15)-$H$37</f>
        <v>353.30500000000006</v>
      </c>
      <c r="E56" s="39">
        <f>C56*(E55-$E$15)-$H$37</f>
        <v>772.25500000000011</v>
      </c>
      <c r="F56" s="39">
        <f>C56*(F55-$E$15)-$H$37</f>
        <v>1191.2049999999999</v>
      </c>
    </row>
    <row r="57" spans="1:12" x14ac:dyDescent="0.25">
      <c r="A57" s="33" t="s">
        <v>93</v>
      </c>
      <c r="C57" s="52">
        <f>AVERAGE(QUALITY!$H$40:$H$43)</f>
        <v>5.35</v>
      </c>
      <c r="D57" s="39">
        <f>C57*(D55-$E$15)-$H$37</f>
        <v>318.07749999999999</v>
      </c>
      <c r="E57" s="39">
        <f>C57*(E55-$E$15)-$H$37</f>
        <v>711.30250000000001</v>
      </c>
      <c r="F57" s="39">
        <f>C57*(F55-$E$15)-$H$37</f>
        <v>1104.5274999999999</v>
      </c>
    </row>
    <row r="58" spans="1:12" x14ac:dyDescent="0.25">
      <c r="A58" s="33" t="s">
        <v>94</v>
      </c>
      <c r="C58" s="33">
        <f>MIN(QUALITY!$H$40:$H$43)</f>
        <v>5.2</v>
      </c>
      <c r="D58" s="39">
        <f>C58*(D55-$E$15)-$H$37</f>
        <v>302.98</v>
      </c>
      <c r="E58" s="39">
        <f>C58*(E55-$E$15)-$H$37</f>
        <v>685.18000000000006</v>
      </c>
      <c r="F58" s="39">
        <f>C58*(F55-$E$15)-$H$37</f>
        <v>1067.3799999999999</v>
      </c>
    </row>
    <row r="59" spans="1:12" x14ac:dyDescent="0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</row>
  </sheetData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/>
  </sheetViews>
  <sheetFormatPr defaultRowHeight="15" x14ac:dyDescent="0.25"/>
  <cols>
    <col min="1" max="1" width="11" customWidth="1"/>
    <col min="4" max="4" width="10" style="7" customWidth="1"/>
    <col min="5" max="5" width="10.7109375" style="7" customWidth="1"/>
    <col min="6" max="7" width="9.85546875" style="7" bestFit="1" customWidth="1"/>
    <col min="8" max="9" width="9.140625" style="7"/>
  </cols>
  <sheetData>
    <row r="1" spans="1:9" s="49" customFormat="1" x14ac:dyDescent="0.25">
      <c r="A1" s="49" t="s">
        <v>99</v>
      </c>
      <c r="D1" s="8"/>
      <c r="E1" s="8"/>
      <c r="F1" s="8"/>
      <c r="G1" s="8"/>
      <c r="H1" s="8"/>
      <c r="I1" s="54">
        <v>2016</v>
      </c>
    </row>
    <row r="3" spans="1:9" x14ac:dyDescent="0.25">
      <c r="D3" s="7" t="s">
        <v>94</v>
      </c>
      <c r="E3" s="7" t="s">
        <v>94</v>
      </c>
      <c r="F3" s="7" t="s">
        <v>92</v>
      </c>
      <c r="G3" s="7" t="s">
        <v>92</v>
      </c>
      <c r="H3" s="7" t="s">
        <v>108</v>
      </c>
      <c r="I3" s="7" t="s">
        <v>107</v>
      </c>
    </row>
    <row r="4" spans="1:9" x14ac:dyDescent="0.25">
      <c r="D4" s="7" t="s">
        <v>111</v>
      </c>
      <c r="E4" s="7" t="s">
        <v>110</v>
      </c>
      <c r="F4" s="7" t="s">
        <v>111</v>
      </c>
      <c r="G4" s="7" t="s">
        <v>110</v>
      </c>
      <c r="H4" s="7" t="s">
        <v>109</v>
      </c>
      <c r="I4" s="7" t="s">
        <v>105</v>
      </c>
    </row>
    <row r="5" spans="1:9" x14ac:dyDescent="0.25">
      <c r="A5" t="s">
        <v>102</v>
      </c>
      <c r="B5" t="s">
        <v>103</v>
      </c>
      <c r="D5" s="53">
        <f>'COO BR'!D59</f>
        <v>701.98199999999997</v>
      </c>
      <c r="E5" s="53">
        <f>'COO BR'!F59</f>
        <v>861.98199999999997</v>
      </c>
      <c r="F5" s="53">
        <f>'COO BR'!D57</f>
        <v>802.13799999999981</v>
      </c>
      <c r="G5" s="53">
        <f>'COO BR'!F57</f>
        <v>979.63799999999992</v>
      </c>
      <c r="H5" s="53">
        <f>'COO BR'!E58</f>
        <v>816.93099999999981</v>
      </c>
      <c r="I5" s="53">
        <f>'COO BR'!H43</f>
        <v>912.40600000000018</v>
      </c>
    </row>
    <row r="6" spans="1:9" x14ac:dyDescent="0.25">
      <c r="B6" t="s">
        <v>104</v>
      </c>
      <c r="D6" s="53">
        <f>'COO DR'!D58</f>
        <v>1461.5749999999998</v>
      </c>
      <c r="E6" s="53">
        <f>'COO DR'!F58</f>
        <v>1736.5749999999998</v>
      </c>
      <c r="F6" s="53">
        <f>'COO DR'!D56</f>
        <v>1816.4899999999998</v>
      </c>
      <c r="G6" s="53">
        <f>'COO DR'!F56</f>
        <v>2146.4899999999998</v>
      </c>
      <c r="H6" s="53">
        <f>'COO DR'!E57</f>
        <v>1833.73875</v>
      </c>
      <c r="I6" s="53">
        <f>'COO DR'!H42</f>
        <v>2034.6950000000002</v>
      </c>
    </row>
    <row r="8" spans="1:9" x14ac:dyDescent="0.25">
      <c r="A8" t="s">
        <v>112</v>
      </c>
      <c r="B8" t="s">
        <v>103</v>
      </c>
      <c r="D8" s="53">
        <f>'RAC BR'!D59</f>
        <v>685.71199999999999</v>
      </c>
      <c r="E8" s="53">
        <f>'RAC BR'!F59</f>
        <v>823.21199999999999</v>
      </c>
      <c r="F8" s="53">
        <f>'RAC BR'!D57</f>
        <v>1095.48</v>
      </c>
      <c r="G8" s="53">
        <f>'RAC BR'!F57</f>
        <v>1290.48</v>
      </c>
      <c r="H8" s="53">
        <f>'RAC BR'!E58</f>
        <v>929.02425000000017</v>
      </c>
      <c r="I8" s="53">
        <f>'RAC BR'!H43</f>
        <v>1095.48</v>
      </c>
    </row>
    <row r="9" spans="1:9" x14ac:dyDescent="0.25">
      <c r="B9" t="s">
        <v>104</v>
      </c>
      <c r="D9" s="53">
        <f>'RAC DR'!D59</f>
        <v>1697.4259999999999</v>
      </c>
      <c r="E9" s="53">
        <f>'RAC DR'!F59</f>
        <v>1697.4259999999999</v>
      </c>
      <c r="F9" s="53">
        <f>'RAC DR'!D57</f>
        <v>2175.826</v>
      </c>
      <c r="G9" s="53">
        <f>'RAC DR'!F57</f>
        <v>2175.826</v>
      </c>
      <c r="H9" s="53">
        <f>'RAC DR'!E58</f>
        <v>2019.4259999999999</v>
      </c>
      <c r="I9" s="53">
        <f>'RAC DR'!H43</f>
        <v>2175.826</v>
      </c>
    </row>
    <row r="11" spans="1:9" x14ac:dyDescent="0.25">
      <c r="A11" t="s">
        <v>113</v>
      </c>
      <c r="B11" t="s">
        <v>103</v>
      </c>
      <c r="D11" s="53">
        <f>'SAN BR'!D59</f>
        <v>818.95200000000011</v>
      </c>
      <c r="E11" s="53">
        <f>'SAN BR'!F59</f>
        <v>961.45200000000011</v>
      </c>
      <c r="F11" s="53">
        <f>'SAN BR'!D57</f>
        <v>891.97200000000009</v>
      </c>
      <c r="G11" s="53">
        <f>'SAN BR'!F57</f>
        <v>1044.472</v>
      </c>
      <c r="H11" s="53">
        <f>'SAN BR'!E58</f>
        <v>947.41950000000031</v>
      </c>
      <c r="I11" s="53">
        <f>'SAN BR'!H43</f>
        <v>1044.4719999999998</v>
      </c>
    </row>
    <row r="12" spans="1:9" x14ac:dyDescent="0.25">
      <c r="B12" t="s">
        <v>104</v>
      </c>
      <c r="D12" s="53">
        <f>'SAN DR'!D58</f>
        <v>258.2</v>
      </c>
      <c r="E12" s="53">
        <f>'SAN DR'!F58</f>
        <v>1246.2</v>
      </c>
      <c r="F12" s="53">
        <f>'SAN DR'!D56</f>
        <v>294.45499999999998</v>
      </c>
      <c r="G12" s="53">
        <f>'SAN DR'!F56</f>
        <v>1356.5550000000001</v>
      </c>
      <c r="H12" s="53">
        <f>'SAN DR'!E57</f>
        <v>1060.42</v>
      </c>
      <c r="I12" s="53">
        <f>'SAN DR'!H42</f>
        <v>1356.5550000000001</v>
      </c>
    </row>
    <row r="14" spans="1:9" x14ac:dyDescent="0.25">
      <c r="A14" t="s">
        <v>114</v>
      </c>
      <c r="B14" t="s">
        <v>103</v>
      </c>
      <c r="D14" s="53">
        <f>'WJ BR'!D59</f>
        <v>380.01199999999989</v>
      </c>
      <c r="E14" s="53">
        <f>'WJ BR'!F59</f>
        <v>475.01199999999989</v>
      </c>
      <c r="F14" s="53">
        <f>'WJ BR'!D57</f>
        <v>561.875</v>
      </c>
      <c r="G14" s="53">
        <f>'WJ BR'!F57</f>
        <v>684.375</v>
      </c>
      <c r="H14" s="53">
        <f>'WJ BR'!E58</f>
        <v>538.70000000000005</v>
      </c>
      <c r="I14" s="53">
        <f>'WJ BR'!H43</f>
        <v>684.375</v>
      </c>
    </row>
    <row r="15" spans="1:9" x14ac:dyDescent="0.25">
      <c r="B15" t="s">
        <v>104</v>
      </c>
      <c r="D15" s="53">
        <f>'WJ DR'!D58</f>
        <v>1164.085</v>
      </c>
      <c r="E15" s="53">
        <f>'WJ DR'!F58</f>
        <v>1164.085</v>
      </c>
      <c r="F15" s="53">
        <f>'WJ DR'!D56</f>
        <v>1384.7950000000001</v>
      </c>
      <c r="G15" s="53">
        <f>'WJ DR'!F56</f>
        <v>1384.7950000000001</v>
      </c>
      <c r="H15" s="53">
        <f>'WJ DR'!E57</f>
        <v>1283.6362500000005</v>
      </c>
      <c r="I15" s="53">
        <f>'WJ DR'!H42</f>
        <v>1384.7950000000001</v>
      </c>
    </row>
    <row r="17" spans="1:9" x14ac:dyDescent="0.25">
      <c r="A17" t="s">
        <v>115</v>
      </c>
      <c r="B17" t="s">
        <v>103</v>
      </c>
      <c r="D17" s="53">
        <f>'YEE BR'!D59</f>
        <v>358.56399999999996</v>
      </c>
      <c r="E17" s="53">
        <f>'YEE BR'!F59</f>
        <v>628.86399999999992</v>
      </c>
      <c r="F17" s="53">
        <f>'YEE BR'!D57</f>
        <v>548.04399999999987</v>
      </c>
      <c r="G17" s="53">
        <f>'YEE BR'!F57</f>
        <v>897.84399999999994</v>
      </c>
      <c r="H17" s="53">
        <f>'YEE BR'!E58</f>
        <v>655.4772499999998</v>
      </c>
      <c r="I17" s="53">
        <f>'YEE BR'!H43</f>
        <v>790.25200000000007</v>
      </c>
    </row>
    <row r="18" spans="1:9" x14ac:dyDescent="0.25">
      <c r="B18" t="s">
        <v>104</v>
      </c>
      <c r="D18" s="53">
        <f>'YEE DR'!D58</f>
        <v>302.98</v>
      </c>
      <c r="E18" s="53">
        <f>'YEE DR'!F58</f>
        <v>1067.3799999999999</v>
      </c>
      <c r="F18" s="53">
        <f>'YEE DR'!D56</f>
        <v>353.30500000000006</v>
      </c>
      <c r="G18" s="53">
        <f>'YEE DR'!F56</f>
        <v>1191.2049999999999</v>
      </c>
      <c r="H18" s="53">
        <f>'YEE DR'!E57</f>
        <v>711.30250000000001</v>
      </c>
      <c r="I18" s="53">
        <f>'YEE DR'!H42</f>
        <v>1067.3799999999999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workbookViewId="0"/>
  </sheetViews>
  <sheetFormatPr defaultRowHeight="15" x14ac:dyDescent="0.25"/>
  <cols>
    <col min="1" max="1" width="16.85546875" customWidth="1"/>
    <col min="2" max="2" width="9" customWidth="1"/>
    <col min="257" max="257" width="12.42578125" customWidth="1"/>
    <col min="258" max="258" width="9" customWidth="1"/>
    <col min="513" max="513" width="12.42578125" customWidth="1"/>
    <col min="514" max="514" width="9" customWidth="1"/>
    <col min="769" max="769" width="12.42578125" customWidth="1"/>
    <col min="770" max="770" width="9" customWidth="1"/>
    <col min="1025" max="1025" width="12.42578125" customWidth="1"/>
    <col min="1026" max="1026" width="9" customWidth="1"/>
    <col min="1281" max="1281" width="12.42578125" customWidth="1"/>
    <col min="1282" max="1282" width="9" customWidth="1"/>
    <col min="1537" max="1537" width="12.42578125" customWidth="1"/>
    <col min="1538" max="1538" width="9" customWidth="1"/>
    <col min="1793" max="1793" width="12.42578125" customWidth="1"/>
    <col min="1794" max="1794" width="9" customWidth="1"/>
    <col min="2049" max="2049" width="12.42578125" customWidth="1"/>
    <col min="2050" max="2050" width="9" customWidth="1"/>
    <col min="2305" max="2305" width="12.42578125" customWidth="1"/>
    <col min="2306" max="2306" width="9" customWidth="1"/>
    <col min="2561" max="2561" width="12.42578125" customWidth="1"/>
    <col min="2562" max="2562" width="9" customWidth="1"/>
    <col min="2817" max="2817" width="12.42578125" customWidth="1"/>
    <col min="2818" max="2818" width="9" customWidth="1"/>
    <col min="3073" max="3073" width="12.42578125" customWidth="1"/>
    <col min="3074" max="3074" width="9" customWidth="1"/>
    <col min="3329" max="3329" width="12.42578125" customWidth="1"/>
    <col min="3330" max="3330" width="9" customWidth="1"/>
    <col min="3585" max="3585" width="12.42578125" customWidth="1"/>
    <col min="3586" max="3586" width="9" customWidth="1"/>
    <col min="3841" max="3841" width="12.42578125" customWidth="1"/>
    <col min="3842" max="3842" width="9" customWidth="1"/>
    <col min="4097" max="4097" width="12.42578125" customWidth="1"/>
    <col min="4098" max="4098" width="9" customWidth="1"/>
    <col min="4353" max="4353" width="12.42578125" customWidth="1"/>
    <col min="4354" max="4354" width="9" customWidth="1"/>
    <col min="4609" max="4609" width="12.42578125" customWidth="1"/>
    <col min="4610" max="4610" width="9" customWidth="1"/>
    <col min="4865" max="4865" width="12.42578125" customWidth="1"/>
    <col min="4866" max="4866" width="9" customWidth="1"/>
    <col min="5121" max="5121" width="12.42578125" customWidth="1"/>
    <col min="5122" max="5122" width="9" customWidth="1"/>
    <col min="5377" max="5377" width="12.42578125" customWidth="1"/>
    <col min="5378" max="5378" width="9" customWidth="1"/>
    <col min="5633" max="5633" width="12.42578125" customWidth="1"/>
    <col min="5634" max="5634" width="9" customWidth="1"/>
    <col min="5889" max="5889" width="12.42578125" customWidth="1"/>
    <col min="5890" max="5890" width="9" customWidth="1"/>
    <col min="6145" max="6145" width="12.42578125" customWidth="1"/>
    <col min="6146" max="6146" width="9" customWidth="1"/>
    <col min="6401" max="6401" width="12.42578125" customWidth="1"/>
    <col min="6402" max="6402" width="9" customWidth="1"/>
    <col min="6657" max="6657" width="12.42578125" customWidth="1"/>
    <col min="6658" max="6658" width="9" customWidth="1"/>
    <col min="6913" max="6913" width="12.42578125" customWidth="1"/>
    <col min="6914" max="6914" width="9" customWidth="1"/>
    <col min="7169" max="7169" width="12.42578125" customWidth="1"/>
    <col min="7170" max="7170" width="9" customWidth="1"/>
    <col min="7425" max="7425" width="12.42578125" customWidth="1"/>
    <col min="7426" max="7426" width="9" customWidth="1"/>
    <col min="7681" max="7681" width="12.42578125" customWidth="1"/>
    <col min="7682" max="7682" width="9" customWidth="1"/>
    <col min="7937" max="7937" width="12.42578125" customWidth="1"/>
    <col min="7938" max="7938" width="9" customWidth="1"/>
    <col min="8193" max="8193" width="12.42578125" customWidth="1"/>
    <col min="8194" max="8194" width="9" customWidth="1"/>
    <col min="8449" max="8449" width="12.42578125" customWidth="1"/>
    <col min="8450" max="8450" width="9" customWidth="1"/>
    <col min="8705" max="8705" width="12.42578125" customWidth="1"/>
    <col min="8706" max="8706" width="9" customWidth="1"/>
    <col min="8961" max="8961" width="12.42578125" customWidth="1"/>
    <col min="8962" max="8962" width="9" customWidth="1"/>
    <col min="9217" max="9217" width="12.42578125" customWidth="1"/>
    <col min="9218" max="9218" width="9" customWidth="1"/>
    <col min="9473" max="9473" width="12.42578125" customWidth="1"/>
    <col min="9474" max="9474" width="9" customWidth="1"/>
    <col min="9729" max="9729" width="12.42578125" customWidth="1"/>
    <col min="9730" max="9730" width="9" customWidth="1"/>
    <col min="9985" max="9985" width="12.42578125" customWidth="1"/>
    <col min="9986" max="9986" width="9" customWidth="1"/>
    <col min="10241" max="10241" width="12.42578125" customWidth="1"/>
    <col min="10242" max="10242" width="9" customWidth="1"/>
    <col min="10497" max="10497" width="12.42578125" customWidth="1"/>
    <col min="10498" max="10498" width="9" customWidth="1"/>
    <col min="10753" max="10753" width="12.42578125" customWidth="1"/>
    <col min="10754" max="10754" width="9" customWidth="1"/>
    <col min="11009" max="11009" width="12.42578125" customWidth="1"/>
    <col min="11010" max="11010" width="9" customWidth="1"/>
    <col min="11265" max="11265" width="12.42578125" customWidth="1"/>
    <col min="11266" max="11266" width="9" customWidth="1"/>
    <col min="11521" max="11521" width="12.42578125" customWidth="1"/>
    <col min="11522" max="11522" width="9" customWidth="1"/>
    <col min="11777" max="11777" width="12.42578125" customWidth="1"/>
    <col min="11778" max="11778" width="9" customWidth="1"/>
    <col min="12033" max="12033" width="12.42578125" customWidth="1"/>
    <col min="12034" max="12034" width="9" customWidth="1"/>
    <col min="12289" max="12289" width="12.42578125" customWidth="1"/>
    <col min="12290" max="12290" width="9" customWidth="1"/>
    <col min="12545" max="12545" width="12.42578125" customWidth="1"/>
    <col min="12546" max="12546" width="9" customWidth="1"/>
    <col min="12801" max="12801" width="12.42578125" customWidth="1"/>
    <col min="12802" max="12802" width="9" customWidth="1"/>
    <col min="13057" max="13057" width="12.42578125" customWidth="1"/>
    <col min="13058" max="13058" width="9" customWidth="1"/>
    <col min="13313" max="13313" width="12.42578125" customWidth="1"/>
    <col min="13314" max="13314" width="9" customWidth="1"/>
    <col min="13569" max="13569" width="12.42578125" customWidth="1"/>
    <col min="13570" max="13570" width="9" customWidth="1"/>
    <col min="13825" max="13825" width="12.42578125" customWidth="1"/>
    <col min="13826" max="13826" width="9" customWidth="1"/>
    <col min="14081" max="14081" width="12.42578125" customWidth="1"/>
    <col min="14082" max="14082" width="9" customWidth="1"/>
    <col min="14337" max="14337" width="12.42578125" customWidth="1"/>
    <col min="14338" max="14338" width="9" customWidth="1"/>
    <col min="14593" max="14593" width="12.42578125" customWidth="1"/>
    <col min="14594" max="14594" width="9" customWidth="1"/>
    <col min="14849" max="14849" width="12.42578125" customWidth="1"/>
    <col min="14850" max="14850" width="9" customWidth="1"/>
    <col min="15105" max="15105" width="12.42578125" customWidth="1"/>
    <col min="15106" max="15106" width="9" customWidth="1"/>
    <col min="15361" max="15361" width="12.42578125" customWidth="1"/>
    <col min="15362" max="15362" width="9" customWidth="1"/>
    <col min="15617" max="15617" width="12.42578125" customWidth="1"/>
    <col min="15618" max="15618" width="9" customWidth="1"/>
    <col min="15873" max="15873" width="12.42578125" customWidth="1"/>
    <col min="15874" max="15874" width="9" customWidth="1"/>
    <col min="16129" max="16129" width="12.42578125" customWidth="1"/>
    <col min="16130" max="16130" width="9" customWidth="1"/>
  </cols>
  <sheetData>
    <row r="1" spans="1:13" ht="18" x14ac:dyDescent="0.25">
      <c r="A1" s="29" t="s">
        <v>98</v>
      </c>
      <c r="B1" s="29"/>
      <c r="C1" s="30"/>
      <c r="D1" s="29"/>
      <c r="F1" s="29"/>
      <c r="G1" s="29">
        <f>RESULTS!I1</f>
        <v>2016</v>
      </c>
      <c r="H1" s="15"/>
      <c r="I1" s="29" t="s">
        <v>38</v>
      </c>
      <c r="J1" s="15"/>
      <c r="K1" s="15"/>
      <c r="L1" s="31">
        <v>1</v>
      </c>
    </row>
    <row r="2" spans="1:13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32"/>
    </row>
    <row r="3" spans="1:13" x14ac:dyDescent="0.25">
      <c r="A3" s="33" t="s">
        <v>39</v>
      </c>
      <c r="C3" s="34" t="s">
        <v>40</v>
      </c>
      <c r="D3" s="34"/>
      <c r="E3" s="34" t="s">
        <v>41</v>
      </c>
      <c r="F3" s="34"/>
      <c r="H3" s="34" t="s">
        <v>42</v>
      </c>
      <c r="K3" s="35" t="s">
        <v>43</v>
      </c>
      <c r="L3">
        <f>C4*L1</f>
        <v>6.7</v>
      </c>
    </row>
    <row r="4" spans="1:13" x14ac:dyDescent="0.25">
      <c r="C4" s="36">
        <f>QUALITY!H7</f>
        <v>6.7</v>
      </c>
      <c r="D4" s="37"/>
      <c r="E4" s="37">
        <f>QUALITY!O7</f>
        <v>218</v>
      </c>
      <c r="F4" s="37"/>
      <c r="H4" s="37">
        <f>E4*C4</f>
        <v>1460.6000000000001</v>
      </c>
      <c r="K4" s="35" t="s">
        <v>44</v>
      </c>
      <c r="L4">
        <f>L3-L6</f>
        <v>6.7</v>
      </c>
    </row>
    <row r="5" spans="1:13" x14ac:dyDescent="0.25">
      <c r="K5" s="35"/>
    </row>
    <row r="6" spans="1:13" x14ac:dyDescent="0.25">
      <c r="K6" s="35" t="s">
        <v>45</v>
      </c>
      <c r="L6" s="37">
        <v>0</v>
      </c>
    </row>
    <row r="7" spans="1:13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3" x14ac:dyDescent="0.25">
      <c r="A8" s="33" t="s">
        <v>46</v>
      </c>
    </row>
    <row r="10" spans="1:13" x14ac:dyDescent="0.25">
      <c r="A10" t="s">
        <v>123</v>
      </c>
      <c r="C10">
        <f>C4</f>
        <v>6.7</v>
      </c>
      <c r="E10" s="37">
        <f>QUALITY!P7</f>
        <v>49.92</v>
      </c>
      <c r="H10">
        <f>E10*C10</f>
        <v>334.464</v>
      </c>
      <c r="K10" s="35" t="s">
        <v>47</v>
      </c>
      <c r="L10">
        <f>L4*E4</f>
        <v>1460.6000000000001</v>
      </c>
    </row>
    <row r="11" spans="1:13" x14ac:dyDescent="0.25">
      <c r="A11" t="s">
        <v>124</v>
      </c>
      <c r="C11">
        <f>C4</f>
        <v>6.7</v>
      </c>
      <c r="E11" s="37">
        <v>0</v>
      </c>
      <c r="H11">
        <f>E11*C11</f>
        <v>0</v>
      </c>
      <c r="K11" s="35" t="s">
        <v>48</v>
      </c>
      <c r="L11">
        <f>L4*E15</f>
        <v>334.464</v>
      </c>
    </row>
    <row r="12" spans="1:13" x14ac:dyDescent="0.25">
      <c r="A12">
        <v>3</v>
      </c>
      <c r="C12">
        <f>C4</f>
        <v>6.7</v>
      </c>
      <c r="E12" s="37">
        <v>0</v>
      </c>
      <c r="H12">
        <f>E12*C12</f>
        <v>0</v>
      </c>
      <c r="K12" s="35"/>
    </row>
    <row r="13" spans="1:13" x14ac:dyDescent="0.25">
      <c r="A13">
        <v>4</v>
      </c>
      <c r="C13">
        <f>C4</f>
        <v>6.7</v>
      </c>
      <c r="E13" s="37">
        <v>0</v>
      </c>
      <c r="H13">
        <f>E13*C13</f>
        <v>0</v>
      </c>
      <c r="K13" s="35" t="s">
        <v>49</v>
      </c>
      <c r="L13">
        <f>L10-L11</f>
        <v>1126.1360000000002</v>
      </c>
    </row>
    <row r="14" spans="1:13" x14ac:dyDescent="0.25">
      <c r="K14" s="35"/>
    </row>
    <row r="15" spans="1:13" x14ac:dyDescent="0.25">
      <c r="C15" s="33" t="s">
        <v>50</v>
      </c>
      <c r="E15">
        <f>SUM(E10:E13)</f>
        <v>49.92</v>
      </c>
      <c r="H15">
        <f>SUM(H10:H13)</f>
        <v>334.464</v>
      </c>
      <c r="K15" s="35" t="s">
        <v>51</v>
      </c>
      <c r="L15">
        <f>L13*M15</f>
        <v>1126.1360000000002</v>
      </c>
      <c r="M15" s="38">
        <v>1</v>
      </c>
    </row>
    <row r="16" spans="1:13" x14ac:dyDescent="0.25">
      <c r="K16" s="35" t="s">
        <v>52</v>
      </c>
      <c r="L16">
        <f>L13*M16</f>
        <v>0</v>
      </c>
      <c r="M16" s="38">
        <v>0</v>
      </c>
    </row>
    <row r="17" spans="1:13" x14ac:dyDescent="0.25">
      <c r="C17" s="33" t="s">
        <v>53</v>
      </c>
      <c r="E17">
        <f>E4-E15</f>
        <v>168.07999999999998</v>
      </c>
      <c r="H17">
        <f>H4-H15</f>
        <v>1126.1360000000002</v>
      </c>
      <c r="K17" s="35" t="s">
        <v>54</v>
      </c>
      <c r="L17">
        <f>L13*M17</f>
        <v>0</v>
      </c>
      <c r="M17" s="38">
        <v>0</v>
      </c>
    </row>
    <row r="18" spans="1:13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20" spans="1:13" x14ac:dyDescent="0.25">
      <c r="A20" s="33" t="s">
        <v>55</v>
      </c>
      <c r="C20" s="34" t="s">
        <v>56</v>
      </c>
      <c r="D20" s="34" t="s">
        <v>57</v>
      </c>
      <c r="E20" s="34" t="s">
        <v>58</v>
      </c>
      <c r="F20" s="34" t="s">
        <v>57</v>
      </c>
      <c r="G20" s="34"/>
      <c r="H20" s="34" t="s">
        <v>59</v>
      </c>
    </row>
    <row r="22" spans="1:13" x14ac:dyDescent="0.25">
      <c r="A22" t="s">
        <v>60</v>
      </c>
      <c r="C22" s="37">
        <v>68</v>
      </c>
      <c r="D22" t="s">
        <v>61</v>
      </c>
      <c r="E22" s="37">
        <f>E4/1000</f>
        <v>0.218</v>
      </c>
      <c r="F22" t="s">
        <v>62</v>
      </c>
      <c r="H22">
        <f>C22*E22</f>
        <v>14.824</v>
      </c>
      <c r="I22" s="48"/>
      <c r="L22" s="39">
        <f>H22*$L$1</f>
        <v>14.824</v>
      </c>
    </row>
    <row r="23" spans="1:13" x14ac:dyDescent="0.25">
      <c r="A23" t="s">
        <v>63</v>
      </c>
      <c r="C23" s="37">
        <v>70</v>
      </c>
      <c r="D23" t="s">
        <v>95</v>
      </c>
      <c r="E23" s="37">
        <v>50</v>
      </c>
      <c r="F23" t="s">
        <v>70</v>
      </c>
      <c r="H23">
        <f>E23*C23/1000</f>
        <v>3.5</v>
      </c>
      <c r="L23" s="39">
        <f t="shared" ref="L23:L34" si="0">H23*$L$1</f>
        <v>3.5</v>
      </c>
    </row>
    <row r="24" spans="1:13" x14ac:dyDescent="0.25">
      <c r="A24" t="s">
        <v>64</v>
      </c>
      <c r="B24" s="40" t="s">
        <v>122</v>
      </c>
      <c r="C24" s="37">
        <v>100</v>
      </c>
      <c r="D24" t="s">
        <v>61</v>
      </c>
      <c r="E24" s="37">
        <v>998</v>
      </c>
      <c r="F24" t="s">
        <v>65</v>
      </c>
      <c r="H24">
        <f>C24*E24/1000</f>
        <v>99.8</v>
      </c>
      <c r="L24" s="39">
        <f t="shared" si="0"/>
        <v>99.8</v>
      </c>
    </row>
    <row r="25" spans="1:13" x14ac:dyDescent="0.25">
      <c r="A25" t="s">
        <v>66</v>
      </c>
      <c r="B25" s="40" t="s">
        <v>121</v>
      </c>
      <c r="C25" s="37">
        <v>0</v>
      </c>
      <c r="D25" t="s">
        <v>69</v>
      </c>
      <c r="E25" s="37">
        <v>750</v>
      </c>
      <c r="F25" t="s">
        <v>133</v>
      </c>
      <c r="H25">
        <f>C25*E25/1000</f>
        <v>0</v>
      </c>
      <c r="L25" s="39">
        <f>H25*L1</f>
        <v>0</v>
      </c>
    </row>
    <row r="26" spans="1:13" x14ac:dyDescent="0.25">
      <c r="A26" t="s">
        <v>68</v>
      </c>
      <c r="B26" s="40" t="s">
        <v>120</v>
      </c>
      <c r="C26" s="37">
        <v>2</v>
      </c>
      <c r="D26" t="s">
        <v>69</v>
      </c>
      <c r="E26" s="37">
        <v>8</v>
      </c>
      <c r="F26" t="s">
        <v>70</v>
      </c>
      <c r="H26">
        <f>E26*C26</f>
        <v>16</v>
      </c>
      <c r="L26" s="39">
        <f t="shared" si="0"/>
        <v>16</v>
      </c>
    </row>
    <row r="27" spans="1:13" x14ac:dyDescent="0.25">
      <c r="A27" t="s">
        <v>71</v>
      </c>
      <c r="B27" s="40" t="s">
        <v>119</v>
      </c>
      <c r="C27" s="37">
        <v>0.15</v>
      </c>
      <c r="D27" t="s">
        <v>69</v>
      </c>
      <c r="E27" s="37">
        <v>50</v>
      </c>
      <c r="F27" t="s">
        <v>70</v>
      </c>
      <c r="H27">
        <f>E27*C27</f>
        <v>7.5</v>
      </c>
      <c r="L27" s="39">
        <f t="shared" si="0"/>
        <v>7.5</v>
      </c>
    </row>
    <row r="28" spans="1:13" x14ac:dyDescent="0.25">
      <c r="A28" t="s">
        <v>72</v>
      </c>
      <c r="B28" s="40" t="s">
        <v>118</v>
      </c>
      <c r="C28" s="37">
        <v>1.8</v>
      </c>
      <c r="D28" t="s">
        <v>69</v>
      </c>
      <c r="E28" s="37">
        <v>20</v>
      </c>
      <c r="F28" t="s">
        <v>70</v>
      </c>
      <c r="H28">
        <f>E28*C28</f>
        <v>36</v>
      </c>
      <c r="L28" s="39">
        <f t="shared" si="0"/>
        <v>36</v>
      </c>
    </row>
    <row r="29" spans="1:13" x14ac:dyDescent="0.25">
      <c r="A29" t="s">
        <v>73</v>
      </c>
      <c r="B29" s="40" t="s">
        <v>116</v>
      </c>
      <c r="C29" s="37">
        <v>0.5</v>
      </c>
      <c r="D29" t="s">
        <v>69</v>
      </c>
      <c r="E29" s="37">
        <v>11</v>
      </c>
      <c r="F29" t="s">
        <v>70</v>
      </c>
      <c r="H29">
        <f>E29*C29</f>
        <v>5.5</v>
      </c>
      <c r="L29" s="39">
        <f t="shared" si="0"/>
        <v>5.5</v>
      </c>
    </row>
    <row r="30" spans="1:13" x14ac:dyDescent="0.25">
      <c r="A30" t="s">
        <v>74</v>
      </c>
      <c r="B30" s="40" t="s">
        <v>117</v>
      </c>
      <c r="C30" s="37">
        <v>0.125</v>
      </c>
      <c r="D30" t="s">
        <v>69</v>
      </c>
      <c r="E30" s="37">
        <v>20</v>
      </c>
      <c r="F30" t="s">
        <v>70</v>
      </c>
      <c r="H30">
        <f t="shared" ref="H30:H31" si="1">E30*C30</f>
        <v>2.5</v>
      </c>
      <c r="L30" s="39">
        <f t="shared" si="0"/>
        <v>2.5</v>
      </c>
    </row>
    <row r="31" spans="1:13" x14ac:dyDescent="0.25">
      <c r="A31" t="s">
        <v>96</v>
      </c>
      <c r="B31" s="40" t="s">
        <v>97</v>
      </c>
      <c r="C31" s="37">
        <v>0</v>
      </c>
      <c r="D31" t="s">
        <v>69</v>
      </c>
      <c r="E31" s="37">
        <v>16</v>
      </c>
      <c r="F31" t="s">
        <v>70</v>
      </c>
      <c r="H31">
        <f t="shared" si="1"/>
        <v>0</v>
      </c>
      <c r="L31" s="39">
        <f t="shared" si="0"/>
        <v>0</v>
      </c>
    </row>
    <row r="32" spans="1:13" x14ac:dyDescent="0.25">
      <c r="A32" t="s">
        <v>75</v>
      </c>
      <c r="C32" s="41">
        <v>0.01</v>
      </c>
      <c r="E32" s="45"/>
      <c r="H32" s="42">
        <f>C32*H4</f>
        <v>14.606000000000002</v>
      </c>
      <c r="L32" s="39">
        <f t="shared" si="0"/>
        <v>14.606000000000002</v>
      </c>
    </row>
    <row r="33" spans="1:12" x14ac:dyDescent="0.25">
      <c r="A33" t="s">
        <v>76</v>
      </c>
      <c r="C33" s="43">
        <f>C4</f>
        <v>6.7</v>
      </c>
      <c r="D33" t="s">
        <v>77</v>
      </c>
      <c r="E33" s="37">
        <v>0</v>
      </c>
      <c r="F33" t="s">
        <v>65</v>
      </c>
      <c r="H33" s="39">
        <f>E33*C33</f>
        <v>0</v>
      </c>
      <c r="L33" s="39">
        <f t="shared" si="0"/>
        <v>0</v>
      </c>
    </row>
    <row r="34" spans="1:12" x14ac:dyDescent="0.25">
      <c r="A34" t="s">
        <v>78</v>
      </c>
      <c r="C34" s="37">
        <v>9</v>
      </c>
      <c r="D34" t="s">
        <v>69</v>
      </c>
      <c r="E34" s="37">
        <v>1.5</v>
      </c>
      <c r="F34" t="s">
        <v>70</v>
      </c>
      <c r="H34">
        <f>E34*C34</f>
        <v>13.5</v>
      </c>
      <c r="L34" s="39">
        <f t="shared" si="0"/>
        <v>13.5</v>
      </c>
    </row>
    <row r="35" spans="1:12" x14ac:dyDescent="0.25">
      <c r="C35" s="44"/>
      <c r="E35" s="45"/>
      <c r="L35" s="39"/>
    </row>
    <row r="36" spans="1:12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8" spans="1:12" x14ac:dyDescent="0.25">
      <c r="F38" s="46" t="s">
        <v>79</v>
      </c>
      <c r="H38" s="47">
        <f>SUM(H22:H36)</f>
        <v>213.73</v>
      </c>
      <c r="K38" s="46" t="s">
        <v>80</v>
      </c>
      <c r="L38" s="39">
        <f>SUM(L22:L37)</f>
        <v>213.73</v>
      </c>
    </row>
    <row r="39" spans="1:12" x14ac:dyDescent="0.25">
      <c r="H39" s="47"/>
      <c r="K39" s="46"/>
      <c r="L39" s="39"/>
    </row>
    <row r="40" spans="1:12" x14ac:dyDescent="0.25">
      <c r="H40" s="47"/>
      <c r="K40" s="46" t="s">
        <v>81</v>
      </c>
      <c r="L40" s="39">
        <f>L13-L38</f>
        <v>912.40600000000018</v>
      </c>
    </row>
    <row r="41" spans="1:12" x14ac:dyDescent="0.25">
      <c r="H41" s="47"/>
      <c r="K41" s="46" t="s">
        <v>82</v>
      </c>
      <c r="L41" s="39">
        <f>L6*E17</f>
        <v>0</v>
      </c>
    </row>
    <row r="42" spans="1:12" x14ac:dyDescent="0.25">
      <c r="H42" s="47"/>
      <c r="K42" s="46"/>
      <c r="L42" s="39"/>
    </row>
    <row r="43" spans="1:12" x14ac:dyDescent="0.25">
      <c r="F43" s="46" t="s">
        <v>83</v>
      </c>
      <c r="H43" s="47">
        <f>H17-H38</f>
        <v>912.40600000000018</v>
      </c>
      <c r="K43" s="46" t="s">
        <v>84</v>
      </c>
      <c r="L43" s="39">
        <f>L40+L41</f>
        <v>912.40600000000018</v>
      </c>
    </row>
    <row r="44" spans="1:12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6" spans="1:12" x14ac:dyDescent="0.25">
      <c r="A46" s="33" t="s">
        <v>85</v>
      </c>
      <c r="C46" s="47">
        <f>H38/E4</f>
        <v>0.98041284403669715</v>
      </c>
    </row>
    <row r="47" spans="1:12" x14ac:dyDescent="0.25">
      <c r="C47" s="47"/>
    </row>
    <row r="48" spans="1:12" x14ac:dyDescent="0.25">
      <c r="A48" s="33" t="s">
        <v>86</v>
      </c>
      <c r="C48" s="47">
        <f>H38/C4</f>
        <v>31.9</v>
      </c>
    </row>
    <row r="49" spans="1:12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1" spans="1:12" x14ac:dyDescent="0.25">
      <c r="A51" s="33" t="s">
        <v>87</v>
      </c>
      <c r="E51" s="35" t="s">
        <v>88</v>
      </c>
      <c r="F51" s="50">
        <f>H38</f>
        <v>213.73</v>
      </c>
      <c r="G51" t="s">
        <v>89</v>
      </c>
    </row>
    <row r="53" spans="1:12" x14ac:dyDescent="0.25">
      <c r="A53" t="s">
        <v>101</v>
      </c>
      <c r="C53" s="37"/>
    </row>
    <row r="54" spans="1:12" x14ac:dyDescent="0.25">
      <c r="A54" t="s">
        <v>106</v>
      </c>
      <c r="C54" s="37"/>
    </row>
    <row r="55" spans="1:12" x14ac:dyDescent="0.25">
      <c r="E55" s="34" t="s">
        <v>91</v>
      </c>
    </row>
    <row r="56" spans="1:12" x14ac:dyDescent="0.25">
      <c r="C56" s="46" t="s">
        <v>90</v>
      </c>
      <c r="D56" s="33">
        <f>MIN(QUALITY!O4:O7)</f>
        <v>193</v>
      </c>
      <c r="E56" s="33">
        <f>AVERAGE(QUALITY!O4:O7)</f>
        <v>203.75</v>
      </c>
      <c r="F56" s="33">
        <f>MAX(QUALITY!O4:O7)</f>
        <v>218</v>
      </c>
    </row>
    <row r="57" spans="1:12" x14ac:dyDescent="0.25">
      <c r="A57" s="33" t="s">
        <v>92</v>
      </c>
      <c r="C57" s="33">
        <f>MAX(QUALITY!H4:H7)</f>
        <v>7.1</v>
      </c>
      <c r="D57" s="39">
        <f>C57*(D56-$E$15)-$H$38</f>
        <v>802.13799999999981</v>
      </c>
      <c r="E57" s="39">
        <f>C57*(E56-$E$15)-$H$38</f>
        <v>878.46299999999974</v>
      </c>
      <c r="F57" s="39">
        <f>C57*(F56-$E$15)-$H$38</f>
        <v>979.63799999999992</v>
      </c>
    </row>
    <row r="58" spans="1:12" x14ac:dyDescent="0.25">
      <c r="A58" s="33" t="s">
        <v>93</v>
      </c>
      <c r="C58" s="52">
        <f>AVERAGE(QUALITY!H4:H7)</f>
        <v>6.7</v>
      </c>
      <c r="D58" s="39">
        <f>C58*(D56-$E$15)-$H$38</f>
        <v>744.90599999999995</v>
      </c>
      <c r="E58" s="39">
        <f>C58*(E56-$E$15)-$H$38</f>
        <v>816.93099999999981</v>
      </c>
      <c r="F58" s="39">
        <f>C58*(F56-$E$15)-$H$38</f>
        <v>912.40599999999995</v>
      </c>
    </row>
    <row r="59" spans="1:12" x14ac:dyDescent="0.25">
      <c r="A59" s="33" t="s">
        <v>94</v>
      </c>
      <c r="C59" s="33">
        <f>MIN(QUALITY!H4:H7)</f>
        <v>6.4</v>
      </c>
      <c r="D59" s="39">
        <f>C59*(D56-$E$15)-$H$38</f>
        <v>701.98199999999997</v>
      </c>
      <c r="E59" s="39">
        <f>C59*(E56-$E$15)-$H$38</f>
        <v>770.78199999999993</v>
      </c>
      <c r="F59" s="39">
        <f>C59*(F56-$E$15)-$H$38</f>
        <v>861.98199999999997</v>
      </c>
    </row>
    <row r="60" spans="1:12" x14ac:dyDescent="0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</row>
  </sheetData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workbookViewId="0"/>
  </sheetViews>
  <sheetFormatPr defaultRowHeight="15" x14ac:dyDescent="0.25"/>
  <cols>
    <col min="1" max="1" width="12.42578125" customWidth="1"/>
    <col min="2" max="2" width="9" customWidth="1"/>
    <col min="257" max="257" width="12.42578125" customWidth="1"/>
    <col min="258" max="258" width="9" customWidth="1"/>
    <col min="513" max="513" width="12.42578125" customWidth="1"/>
    <col min="514" max="514" width="9" customWidth="1"/>
    <col min="769" max="769" width="12.42578125" customWidth="1"/>
    <col min="770" max="770" width="9" customWidth="1"/>
    <col min="1025" max="1025" width="12.42578125" customWidth="1"/>
    <col min="1026" max="1026" width="9" customWidth="1"/>
    <col min="1281" max="1281" width="12.42578125" customWidth="1"/>
    <col min="1282" max="1282" width="9" customWidth="1"/>
    <col min="1537" max="1537" width="12.42578125" customWidth="1"/>
    <col min="1538" max="1538" width="9" customWidth="1"/>
    <col min="1793" max="1793" width="12.42578125" customWidth="1"/>
    <col min="1794" max="1794" width="9" customWidth="1"/>
    <col min="2049" max="2049" width="12.42578125" customWidth="1"/>
    <col min="2050" max="2050" width="9" customWidth="1"/>
    <col min="2305" max="2305" width="12.42578125" customWidth="1"/>
    <col min="2306" max="2306" width="9" customWidth="1"/>
    <col min="2561" max="2561" width="12.42578125" customWidth="1"/>
    <col min="2562" max="2562" width="9" customWidth="1"/>
    <col min="2817" max="2817" width="12.42578125" customWidth="1"/>
    <col min="2818" max="2818" width="9" customWidth="1"/>
    <col min="3073" max="3073" width="12.42578125" customWidth="1"/>
    <col min="3074" max="3074" width="9" customWidth="1"/>
    <col min="3329" max="3329" width="12.42578125" customWidth="1"/>
    <col min="3330" max="3330" width="9" customWidth="1"/>
    <col min="3585" max="3585" width="12.42578125" customWidth="1"/>
    <col min="3586" max="3586" width="9" customWidth="1"/>
    <col min="3841" max="3841" width="12.42578125" customWidth="1"/>
    <col min="3842" max="3842" width="9" customWidth="1"/>
    <col min="4097" max="4097" width="12.42578125" customWidth="1"/>
    <col min="4098" max="4098" width="9" customWidth="1"/>
    <col min="4353" max="4353" width="12.42578125" customWidth="1"/>
    <col min="4354" max="4354" width="9" customWidth="1"/>
    <col min="4609" max="4609" width="12.42578125" customWidth="1"/>
    <col min="4610" max="4610" width="9" customWidth="1"/>
    <col min="4865" max="4865" width="12.42578125" customWidth="1"/>
    <col min="4866" max="4866" width="9" customWidth="1"/>
    <col min="5121" max="5121" width="12.42578125" customWidth="1"/>
    <col min="5122" max="5122" width="9" customWidth="1"/>
    <col min="5377" max="5377" width="12.42578125" customWidth="1"/>
    <col min="5378" max="5378" width="9" customWidth="1"/>
    <col min="5633" max="5633" width="12.42578125" customWidth="1"/>
    <col min="5634" max="5634" width="9" customWidth="1"/>
    <col min="5889" max="5889" width="12.42578125" customWidth="1"/>
    <col min="5890" max="5890" width="9" customWidth="1"/>
    <col min="6145" max="6145" width="12.42578125" customWidth="1"/>
    <col min="6146" max="6146" width="9" customWidth="1"/>
    <col min="6401" max="6401" width="12.42578125" customWidth="1"/>
    <col min="6402" max="6402" width="9" customWidth="1"/>
    <col min="6657" max="6657" width="12.42578125" customWidth="1"/>
    <col min="6658" max="6658" width="9" customWidth="1"/>
    <col min="6913" max="6913" width="12.42578125" customWidth="1"/>
    <col min="6914" max="6914" width="9" customWidth="1"/>
    <col min="7169" max="7169" width="12.42578125" customWidth="1"/>
    <col min="7170" max="7170" width="9" customWidth="1"/>
    <col min="7425" max="7425" width="12.42578125" customWidth="1"/>
    <col min="7426" max="7426" width="9" customWidth="1"/>
    <col min="7681" max="7681" width="12.42578125" customWidth="1"/>
    <col min="7682" max="7682" width="9" customWidth="1"/>
    <col min="7937" max="7937" width="12.42578125" customWidth="1"/>
    <col min="7938" max="7938" width="9" customWidth="1"/>
    <col min="8193" max="8193" width="12.42578125" customWidth="1"/>
    <col min="8194" max="8194" width="9" customWidth="1"/>
    <col min="8449" max="8449" width="12.42578125" customWidth="1"/>
    <col min="8450" max="8450" width="9" customWidth="1"/>
    <col min="8705" max="8705" width="12.42578125" customWidth="1"/>
    <col min="8706" max="8706" width="9" customWidth="1"/>
    <col min="8961" max="8961" width="12.42578125" customWidth="1"/>
    <col min="8962" max="8962" width="9" customWidth="1"/>
    <col min="9217" max="9217" width="12.42578125" customWidth="1"/>
    <col min="9218" max="9218" width="9" customWidth="1"/>
    <col min="9473" max="9473" width="12.42578125" customWidth="1"/>
    <col min="9474" max="9474" width="9" customWidth="1"/>
    <col min="9729" max="9729" width="12.42578125" customWidth="1"/>
    <col min="9730" max="9730" width="9" customWidth="1"/>
    <col min="9985" max="9985" width="12.42578125" customWidth="1"/>
    <col min="9986" max="9986" width="9" customWidth="1"/>
    <col min="10241" max="10241" width="12.42578125" customWidth="1"/>
    <col min="10242" max="10242" width="9" customWidth="1"/>
    <col min="10497" max="10497" width="12.42578125" customWidth="1"/>
    <col min="10498" max="10498" width="9" customWidth="1"/>
    <col min="10753" max="10753" width="12.42578125" customWidth="1"/>
    <col min="10754" max="10754" width="9" customWidth="1"/>
    <col min="11009" max="11009" width="12.42578125" customWidth="1"/>
    <col min="11010" max="11010" width="9" customWidth="1"/>
    <col min="11265" max="11265" width="12.42578125" customWidth="1"/>
    <col min="11266" max="11266" width="9" customWidth="1"/>
    <col min="11521" max="11521" width="12.42578125" customWidth="1"/>
    <col min="11522" max="11522" width="9" customWidth="1"/>
    <col min="11777" max="11777" width="12.42578125" customWidth="1"/>
    <col min="11778" max="11778" width="9" customWidth="1"/>
    <col min="12033" max="12033" width="12.42578125" customWidth="1"/>
    <col min="12034" max="12034" width="9" customWidth="1"/>
    <col min="12289" max="12289" width="12.42578125" customWidth="1"/>
    <col min="12290" max="12290" width="9" customWidth="1"/>
    <col min="12545" max="12545" width="12.42578125" customWidth="1"/>
    <col min="12546" max="12546" width="9" customWidth="1"/>
    <col min="12801" max="12801" width="12.42578125" customWidth="1"/>
    <col min="12802" max="12802" width="9" customWidth="1"/>
    <col min="13057" max="13057" width="12.42578125" customWidth="1"/>
    <col min="13058" max="13058" width="9" customWidth="1"/>
    <col min="13313" max="13313" width="12.42578125" customWidth="1"/>
    <col min="13314" max="13314" width="9" customWidth="1"/>
    <col min="13569" max="13569" width="12.42578125" customWidth="1"/>
    <col min="13570" max="13570" width="9" customWidth="1"/>
    <col min="13825" max="13825" width="12.42578125" customWidth="1"/>
    <col min="13826" max="13826" width="9" customWidth="1"/>
    <col min="14081" max="14081" width="12.42578125" customWidth="1"/>
    <col min="14082" max="14082" width="9" customWidth="1"/>
    <col min="14337" max="14337" width="12.42578125" customWidth="1"/>
    <col min="14338" max="14338" width="9" customWidth="1"/>
    <col min="14593" max="14593" width="12.42578125" customWidth="1"/>
    <col min="14594" max="14594" width="9" customWidth="1"/>
    <col min="14849" max="14849" width="12.42578125" customWidth="1"/>
    <col min="14850" max="14850" width="9" customWidth="1"/>
    <col min="15105" max="15105" width="12.42578125" customWidth="1"/>
    <col min="15106" max="15106" width="9" customWidth="1"/>
    <col min="15361" max="15361" width="12.42578125" customWidth="1"/>
    <col min="15362" max="15362" width="9" customWidth="1"/>
    <col min="15617" max="15617" width="12.42578125" customWidth="1"/>
    <col min="15618" max="15618" width="9" customWidth="1"/>
    <col min="15873" max="15873" width="12.42578125" customWidth="1"/>
    <col min="15874" max="15874" width="9" customWidth="1"/>
    <col min="16129" max="16129" width="12.42578125" customWidth="1"/>
    <col min="16130" max="16130" width="9" customWidth="1"/>
  </cols>
  <sheetData>
    <row r="1" spans="1:13" ht="18" x14ac:dyDescent="0.25">
      <c r="A1" s="29" t="s">
        <v>100</v>
      </c>
      <c r="B1" s="29"/>
      <c r="C1" s="30"/>
      <c r="D1" s="29"/>
      <c r="F1" s="29"/>
      <c r="G1" s="29">
        <f>RESULTS!I1</f>
        <v>2016</v>
      </c>
      <c r="H1" s="15"/>
      <c r="I1" s="29" t="s">
        <v>38</v>
      </c>
      <c r="J1" s="15"/>
      <c r="K1" s="15"/>
      <c r="L1" s="31">
        <v>1</v>
      </c>
    </row>
    <row r="2" spans="1:13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32"/>
    </row>
    <row r="3" spans="1:13" x14ac:dyDescent="0.25">
      <c r="A3" s="33" t="s">
        <v>39</v>
      </c>
      <c r="C3" s="34" t="s">
        <v>40</v>
      </c>
      <c r="D3" s="34"/>
      <c r="E3" s="34" t="s">
        <v>41</v>
      </c>
      <c r="F3" s="34"/>
      <c r="H3" s="34" t="s">
        <v>42</v>
      </c>
      <c r="K3" s="35" t="s">
        <v>43</v>
      </c>
      <c r="L3">
        <f>C4*L1</f>
        <v>6.3</v>
      </c>
    </row>
    <row r="4" spans="1:13" x14ac:dyDescent="0.25">
      <c r="C4" s="36">
        <f>QUALITY!H9</f>
        <v>6.3</v>
      </c>
      <c r="D4" s="37"/>
      <c r="E4" s="37">
        <f>QUALITY!O9</f>
        <v>400</v>
      </c>
      <c r="F4" s="37"/>
      <c r="H4" s="37">
        <f>E4*C4</f>
        <v>2520</v>
      </c>
      <c r="K4" s="35" t="s">
        <v>44</v>
      </c>
      <c r="L4">
        <f>L3-L6</f>
        <v>6.3</v>
      </c>
    </row>
    <row r="5" spans="1:13" x14ac:dyDescent="0.25">
      <c r="K5" s="35"/>
    </row>
    <row r="6" spans="1:13" x14ac:dyDescent="0.25">
      <c r="K6" s="35" t="s">
        <v>45</v>
      </c>
      <c r="L6" s="37">
        <v>0</v>
      </c>
    </row>
    <row r="7" spans="1:13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3" x14ac:dyDescent="0.25">
      <c r="A8" s="33" t="s">
        <v>46</v>
      </c>
    </row>
    <row r="10" spans="1:13" x14ac:dyDescent="0.25">
      <c r="A10" t="s">
        <v>125</v>
      </c>
      <c r="C10">
        <f>C4</f>
        <v>6.3</v>
      </c>
      <c r="E10" s="36">
        <f>QUALITY!P9</f>
        <v>27.35</v>
      </c>
      <c r="H10">
        <f>E10*C10</f>
        <v>172.30500000000001</v>
      </c>
      <c r="K10" s="35" t="s">
        <v>47</v>
      </c>
      <c r="L10">
        <f>L4*E4</f>
        <v>2520</v>
      </c>
    </row>
    <row r="11" spans="1:13" x14ac:dyDescent="0.25">
      <c r="A11" t="s">
        <v>126</v>
      </c>
      <c r="C11">
        <f>C4</f>
        <v>6.3</v>
      </c>
      <c r="E11" s="37">
        <v>0</v>
      </c>
      <c r="H11">
        <f>E11*C11</f>
        <v>0</v>
      </c>
      <c r="K11" s="35" t="s">
        <v>48</v>
      </c>
      <c r="L11">
        <f>L4*E15</f>
        <v>172.30500000000001</v>
      </c>
    </row>
    <row r="12" spans="1:13" x14ac:dyDescent="0.25">
      <c r="A12" t="s">
        <v>127</v>
      </c>
      <c r="C12">
        <f>C4</f>
        <v>6.3</v>
      </c>
      <c r="E12" s="37">
        <v>0</v>
      </c>
      <c r="H12">
        <f>E12*C12</f>
        <v>0</v>
      </c>
      <c r="K12" s="35"/>
    </row>
    <row r="13" spans="1:13" x14ac:dyDescent="0.25">
      <c r="A13">
        <v>4</v>
      </c>
      <c r="C13">
        <f>C4</f>
        <v>6.3</v>
      </c>
      <c r="E13" s="37">
        <v>0</v>
      </c>
      <c r="H13">
        <f>E13*C13</f>
        <v>0</v>
      </c>
      <c r="K13" s="35" t="s">
        <v>49</v>
      </c>
      <c r="L13">
        <f>L10-L11</f>
        <v>2347.6950000000002</v>
      </c>
    </row>
    <row r="14" spans="1:13" x14ac:dyDescent="0.25">
      <c r="K14" s="35"/>
    </row>
    <row r="15" spans="1:13" x14ac:dyDescent="0.25">
      <c r="C15" s="33" t="s">
        <v>50</v>
      </c>
      <c r="E15">
        <f>SUM(E10:E13)</f>
        <v>27.35</v>
      </c>
      <c r="H15">
        <f>SUM(H10:H13)</f>
        <v>172.30500000000001</v>
      </c>
      <c r="K15" s="35" t="s">
        <v>51</v>
      </c>
      <c r="L15">
        <f>L13*M15</f>
        <v>2347.6950000000002</v>
      </c>
      <c r="M15" s="38">
        <v>1</v>
      </c>
    </row>
    <row r="16" spans="1:13" x14ac:dyDescent="0.25">
      <c r="K16" s="35" t="s">
        <v>52</v>
      </c>
      <c r="L16">
        <f>L13*M16</f>
        <v>0</v>
      </c>
      <c r="M16" s="38">
        <v>0</v>
      </c>
    </row>
    <row r="17" spans="1:13" x14ac:dyDescent="0.25">
      <c r="C17" s="33" t="s">
        <v>53</v>
      </c>
      <c r="E17">
        <f>E4-E15</f>
        <v>372.65</v>
      </c>
      <c r="H17">
        <f>H4-H15</f>
        <v>2347.6950000000002</v>
      </c>
      <c r="K17" s="35" t="s">
        <v>54</v>
      </c>
      <c r="L17">
        <f>L13*M17</f>
        <v>0</v>
      </c>
      <c r="M17" s="38">
        <v>0</v>
      </c>
    </row>
    <row r="18" spans="1:13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20" spans="1:13" x14ac:dyDescent="0.25">
      <c r="A20" s="33" t="s">
        <v>55</v>
      </c>
      <c r="C20" s="34" t="s">
        <v>56</v>
      </c>
      <c r="D20" s="34" t="s">
        <v>57</v>
      </c>
      <c r="E20" s="34" t="s">
        <v>58</v>
      </c>
      <c r="F20" s="34" t="s">
        <v>57</v>
      </c>
      <c r="G20" s="34"/>
      <c r="H20" s="34" t="s">
        <v>59</v>
      </c>
    </row>
    <row r="22" spans="1:13" x14ac:dyDescent="0.25">
      <c r="A22" t="s">
        <v>60</v>
      </c>
      <c r="C22" s="37">
        <v>80</v>
      </c>
      <c r="D22" t="s">
        <v>61</v>
      </c>
      <c r="E22" s="37">
        <f>E4/1000</f>
        <v>0.4</v>
      </c>
      <c r="F22" t="s">
        <v>62</v>
      </c>
      <c r="H22">
        <f>C22*E22</f>
        <v>32</v>
      </c>
      <c r="I22" s="37"/>
      <c r="L22" s="39">
        <f>H22*$L$1</f>
        <v>32</v>
      </c>
    </row>
    <row r="23" spans="1:13" x14ac:dyDescent="0.25">
      <c r="A23" t="s">
        <v>63</v>
      </c>
      <c r="C23" s="37">
        <v>0</v>
      </c>
      <c r="D23" t="s">
        <v>61</v>
      </c>
      <c r="E23" s="37">
        <v>50</v>
      </c>
      <c r="F23" t="s">
        <v>62</v>
      </c>
      <c r="H23">
        <f>E23*C23</f>
        <v>0</v>
      </c>
      <c r="L23" s="39">
        <f t="shared" ref="L23:L33" si="0">H23*$L$1</f>
        <v>0</v>
      </c>
    </row>
    <row r="24" spans="1:13" x14ac:dyDescent="0.25">
      <c r="A24" t="s">
        <v>64</v>
      </c>
      <c r="B24" s="40" t="s">
        <v>122</v>
      </c>
      <c r="C24" s="37">
        <v>100</v>
      </c>
      <c r="D24" t="s">
        <v>61</v>
      </c>
      <c r="E24" s="37">
        <f>'COO BR'!E24</f>
        <v>998</v>
      </c>
      <c r="F24" t="s">
        <v>65</v>
      </c>
      <c r="H24">
        <f>C24*E24/1000</f>
        <v>99.8</v>
      </c>
      <c r="L24" s="39">
        <f t="shared" si="0"/>
        <v>99.8</v>
      </c>
    </row>
    <row r="25" spans="1:13" x14ac:dyDescent="0.25">
      <c r="A25" t="s">
        <v>66</v>
      </c>
      <c r="B25" s="40" t="s">
        <v>121</v>
      </c>
      <c r="C25" s="37">
        <v>100</v>
      </c>
      <c r="D25" t="s">
        <v>67</v>
      </c>
      <c r="E25" s="37">
        <f>'COO BR'!E25</f>
        <v>750</v>
      </c>
      <c r="F25" t="s">
        <v>154</v>
      </c>
      <c r="H25">
        <f>C25*E25/1000</f>
        <v>75</v>
      </c>
      <c r="L25" s="39">
        <f>H25*L1</f>
        <v>75</v>
      </c>
    </row>
    <row r="26" spans="1:13" x14ac:dyDescent="0.25">
      <c r="A26" t="s">
        <v>68</v>
      </c>
      <c r="B26" s="40" t="s">
        <v>120</v>
      </c>
      <c r="C26" s="37">
        <v>2</v>
      </c>
      <c r="D26" t="s">
        <v>69</v>
      </c>
      <c r="E26" s="37">
        <f>'COO BR'!E26</f>
        <v>8</v>
      </c>
      <c r="F26" t="s">
        <v>70</v>
      </c>
      <c r="H26">
        <f>E26*C26</f>
        <v>16</v>
      </c>
      <c r="L26" s="39">
        <f t="shared" si="0"/>
        <v>16</v>
      </c>
    </row>
    <row r="27" spans="1:13" x14ac:dyDescent="0.25">
      <c r="A27" t="s">
        <v>71</v>
      </c>
      <c r="B27" s="40" t="s">
        <v>119</v>
      </c>
      <c r="C27" s="37">
        <v>0.15</v>
      </c>
      <c r="D27" t="s">
        <v>69</v>
      </c>
      <c r="E27" s="37">
        <f>'COO BR'!E27</f>
        <v>50</v>
      </c>
      <c r="F27" t="s">
        <v>70</v>
      </c>
      <c r="H27">
        <f>E27*C27</f>
        <v>7.5</v>
      </c>
      <c r="L27" s="39">
        <f t="shared" si="0"/>
        <v>7.5</v>
      </c>
    </row>
    <row r="28" spans="1:13" x14ac:dyDescent="0.25">
      <c r="A28" t="s">
        <v>72</v>
      </c>
      <c r="B28" s="40" t="s">
        <v>118</v>
      </c>
      <c r="C28" s="37">
        <v>1.8</v>
      </c>
      <c r="D28" t="s">
        <v>69</v>
      </c>
      <c r="E28" s="37">
        <f>'COO BR'!E28</f>
        <v>20</v>
      </c>
      <c r="F28" t="s">
        <v>70</v>
      </c>
      <c r="H28">
        <f>E28*C28</f>
        <v>36</v>
      </c>
      <c r="L28" s="39">
        <f t="shared" si="0"/>
        <v>36</v>
      </c>
    </row>
    <row r="29" spans="1:13" x14ac:dyDescent="0.25">
      <c r="A29" t="s">
        <v>73</v>
      </c>
      <c r="B29" s="40" t="s">
        <v>128</v>
      </c>
      <c r="C29" s="37">
        <v>0.5</v>
      </c>
      <c r="D29" t="s">
        <v>69</v>
      </c>
      <c r="E29" s="37">
        <f>'COO BR'!E29</f>
        <v>11</v>
      </c>
      <c r="F29" t="s">
        <v>70</v>
      </c>
      <c r="H29">
        <f>E29*C29</f>
        <v>5.5</v>
      </c>
      <c r="L29" s="39">
        <f t="shared" si="0"/>
        <v>5.5</v>
      </c>
    </row>
    <row r="30" spans="1:13" x14ac:dyDescent="0.25">
      <c r="A30" t="s">
        <v>74</v>
      </c>
      <c r="B30" s="40" t="s">
        <v>117</v>
      </c>
      <c r="C30" s="37">
        <v>0.125</v>
      </c>
      <c r="D30" t="s">
        <v>69</v>
      </c>
      <c r="E30" s="37">
        <f>'COO BR'!E30</f>
        <v>20</v>
      </c>
      <c r="F30" t="s">
        <v>70</v>
      </c>
      <c r="H30">
        <f>E30*C30</f>
        <v>2.5</v>
      </c>
      <c r="L30" s="39">
        <f t="shared" si="0"/>
        <v>2.5</v>
      </c>
    </row>
    <row r="31" spans="1:13" x14ac:dyDescent="0.25">
      <c r="A31" t="s">
        <v>75</v>
      </c>
      <c r="C31" s="41">
        <v>0.01</v>
      </c>
      <c r="E31" s="37"/>
      <c r="H31" s="42">
        <f>C31*H4</f>
        <v>25.2</v>
      </c>
      <c r="L31" s="39">
        <f t="shared" si="0"/>
        <v>25.2</v>
      </c>
    </row>
    <row r="32" spans="1:13" x14ac:dyDescent="0.25">
      <c r="A32" t="s">
        <v>76</v>
      </c>
      <c r="C32" s="43">
        <f>C13</f>
        <v>6.3</v>
      </c>
      <c r="D32" t="s">
        <v>77</v>
      </c>
      <c r="E32" s="37">
        <v>0</v>
      </c>
      <c r="F32" t="s">
        <v>65</v>
      </c>
      <c r="H32" s="39">
        <f>E32*C32</f>
        <v>0</v>
      </c>
      <c r="L32" s="39">
        <f t="shared" si="0"/>
        <v>0</v>
      </c>
    </row>
    <row r="33" spans="1:12" x14ac:dyDescent="0.25">
      <c r="A33" t="s">
        <v>78</v>
      </c>
      <c r="C33" s="37">
        <v>9</v>
      </c>
      <c r="D33" t="s">
        <v>69</v>
      </c>
      <c r="E33" s="37">
        <f>'COO BR'!E34</f>
        <v>1.5</v>
      </c>
      <c r="F33" t="s">
        <v>70</v>
      </c>
      <c r="H33">
        <f>E33*C33</f>
        <v>13.5</v>
      </c>
      <c r="L33" s="39">
        <f t="shared" si="0"/>
        <v>13.5</v>
      </c>
    </row>
    <row r="34" spans="1:12" x14ac:dyDescent="0.25">
      <c r="C34" s="44"/>
      <c r="E34" s="45"/>
      <c r="L34" s="39"/>
    </row>
    <row r="35" spans="1:12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7" spans="1:12" x14ac:dyDescent="0.25">
      <c r="F37" s="46" t="s">
        <v>79</v>
      </c>
      <c r="H37">
        <f>SUM(H22:H35)</f>
        <v>313</v>
      </c>
      <c r="K37" s="46" t="s">
        <v>80</v>
      </c>
      <c r="L37" s="39">
        <f>SUM(L22:L36)</f>
        <v>313</v>
      </c>
    </row>
    <row r="38" spans="1:12" x14ac:dyDescent="0.25">
      <c r="K38" s="46"/>
      <c r="L38" s="39"/>
    </row>
    <row r="39" spans="1:12" x14ac:dyDescent="0.25">
      <c r="K39" s="46" t="s">
        <v>81</v>
      </c>
      <c r="L39" s="39">
        <f>L13-L37</f>
        <v>2034.6950000000002</v>
      </c>
    </row>
    <row r="40" spans="1:12" x14ac:dyDescent="0.25">
      <c r="K40" s="46" t="s">
        <v>82</v>
      </c>
      <c r="L40" s="39">
        <f>L6*E17</f>
        <v>0</v>
      </c>
    </row>
    <row r="41" spans="1:12" x14ac:dyDescent="0.25">
      <c r="K41" s="46"/>
      <c r="L41" s="39"/>
    </row>
    <row r="42" spans="1:12" x14ac:dyDescent="0.25">
      <c r="F42" s="46" t="s">
        <v>83</v>
      </c>
      <c r="H42" s="47">
        <f>H17-H37</f>
        <v>2034.6950000000002</v>
      </c>
      <c r="K42" s="46" t="s">
        <v>84</v>
      </c>
      <c r="L42" s="39">
        <f>L39+L40</f>
        <v>2034.6950000000002</v>
      </c>
    </row>
    <row r="43" spans="1:12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</row>
    <row r="45" spans="1:12" x14ac:dyDescent="0.25">
      <c r="A45" s="33" t="s">
        <v>85</v>
      </c>
      <c r="C45" s="47">
        <f>H37/E4</f>
        <v>0.78249999999999997</v>
      </c>
    </row>
    <row r="46" spans="1:12" x14ac:dyDescent="0.25">
      <c r="C46" s="47"/>
    </row>
    <row r="47" spans="1:12" x14ac:dyDescent="0.25">
      <c r="A47" s="33" t="s">
        <v>86</v>
      </c>
      <c r="C47" s="47">
        <f>H37/C4</f>
        <v>49.682539682539684</v>
      </c>
    </row>
    <row r="48" spans="1:12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</row>
    <row r="50" spans="1:12" x14ac:dyDescent="0.25">
      <c r="A50" s="33" t="s">
        <v>87</v>
      </c>
      <c r="E50" s="35" t="s">
        <v>88</v>
      </c>
      <c r="F50" s="7">
        <f>H37</f>
        <v>313</v>
      </c>
      <c r="G50" t="s">
        <v>89</v>
      </c>
    </row>
    <row r="52" spans="1:12" x14ac:dyDescent="0.25">
      <c r="A52" t="s">
        <v>101</v>
      </c>
      <c r="C52" s="37"/>
    </row>
    <row r="53" spans="1:12" x14ac:dyDescent="0.25">
      <c r="A53" t="s">
        <v>106</v>
      </c>
      <c r="C53" s="37"/>
    </row>
    <row r="54" spans="1:12" x14ac:dyDescent="0.25">
      <c r="E54" s="34" t="s">
        <v>91</v>
      </c>
    </row>
    <row r="55" spans="1:12" x14ac:dyDescent="0.25">
      <c r="C55" s="46" t="s">
        <v>90</v>
      </c>
      <c r="D55" s="33">
        <f>MIN(QUALITY!O8:O11)</f>
        <v>350</v>
      </c>
      <c r="E55" s="33">
        <f>AVERAGE(QUALITY!O8:O11)</f>
        <v>375</v>
      </c>
      <c r="F55" s="33">
        <f>MAX(QUALITY!O8:O11)</f>
        <v>400</v>
      </c>
    </row>
    <row r="56" spans="1:12" x14ac:dyDescent="0.25">
      <c r="A56" s="33" t="s">
        <v>92</v>
      </c>
      <c r="C56" s="33">
        <f>MAX(QUALITY!H8:H11)</f>
        <v>6.6</v>
      </c>
      <c r="D56" s="39">
        <f>C56*(D55-$E$15)-$H$37</f>
        <v>1816.4899999999998</v>
      </c>
      <c r="E56" s="39">
        <f>C56*(E55-$E$15)-$H$37</f>
        <v>1981.4899999999998</v>
      </c>
      <c r="F56" s="39">
        <f>C56*(F55-$E$15)-$H$37</f>
        <v>2146.4899999999998</v>
      </c>
    </row>
    <row r="57" spans="1:12" x14ac:dyDescent="0.25">
      <c r="A57" s="33" t="s">
        <v>93</v>
      </c>
      <c r="C57" s="52">
        <f>AVERAGE(QUALITY!H8:H11)</f>
        <v>6.1749999999999998</v>
      </c>
      <c r="D57" s="39">
        <f>C57*(D55-$E$15)-$H$37</f>
        <v>1679.3637499999998</v>
      </c>
      <c r="E57" s="39">
        <f>C57*(E55-$E$15)-$H$37</f>
        <v>1833.73875</v>
      </c>
      <c r="F57" s="39">
        <f>C57*(F55-$E$15)-$H$37</f>
        <v>1988.11375</v>
      </c>
    </row>
    <row r="58" spans="1:12" x14ac:dyDescent="0.25">
      <c r="A58" s="33" t="s">
        <v>94</v>
      </c>
      <c r="C58" s="33">
        <f>MIN(QUALITY!H8:H11)</f>
        <v>5.5</v>
      </c>
      <c r="D58" s="39">
        <f>C58*(D55-$E$15)-$H$37</f>
        <v>1461.5749999999998</v>
      </c>
      <c r="E58" s="39">
        <f>C58*(E55-$E$15)-$H$37</f>
        <v>1599.0749999999998</v>
      </c>
      <c r="F58" s="39">
        <f>C58*(F55-$E$15)-$H$37</f>
        <v>1736.5749999999998</v>
      </c>
    </row>
    <row r="59" spans="1:12" x14ac:dyDescent="0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</row>
  </sheetData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workbookViewId="0"/>
  </sheetViews>
  <sheetFormatPr defaultRowHeight="15" x14ac:dyDescent="0.25"/>
  <cols>
    <col min="1" max="1" width="12.42578125" customWidth="1"/>
    <col min="2" max="2" width="9" customWidth="1"/>
    <col min="257" max="257" width="12.42578125" customWidth="1"/>
    <col min="258" max="258" width="9" customWidth="1"/>
    <col min="513" max="513" width="12.42578125" customWidth="1"/>
    <col min="514" max="514" width="9" customWidth="1"/>
    <col min="769" max="769" width="12.42578125" customWidth="1"/>
    <col min="770" max="770" width="9" customWidth="1"/>
    <col min="1025" max="1025" width="12.42578125" customWidth="1"/>
    <col min="1026" max="1026" width="9" customWidth="1"/>
    <col min="1281" max="1281" width="12.42578125" customWidth="1"/>
    <col min="1282" max="1282" width="9" customWidth="1"/>
    <col min="1537" max="1537" width="12.42578125" customWidth="1"/>
    <col min="1538" max="1538" width="9" customWidth="1"/>
    <col min="1793" max="1793" width="12.42578125" customWidth="1"/>
    <col min="1794" max="1794" width="9" customWidth="1"/>
    <col min="2049" max="2049" width="12.42578125" customWidth="1"/>
    <col min="2050" max="2050" width="9" customWidth="1"/>
    <col min="2305" max="2305" width="12.42578125" customWidth="1"/>
    <col min="2306" max="2306" width="9" customWidth="1"/>
    <col min="2561" max="2561" width="12.42578125" customWidth="1"/>
    <col min="2562" max="2562" width="9" customWidth="1"/>
    <col min="2817" max="2817" width="12.42578125" customWidth="1"/>
    <col min="2818" max="2818" width="9" customWidth="1"/>
    <col min="3073" max="3073" width="12.42578125" customWidth="1"/>
    <col min="3074" max="3074" width="9" customWidth="1"/>
    <col min="3329" max="3329" width="12.42578125" customWidth="1"/>
    <col min="3330" max="3330" width="9" customWidth="1"/>
    <col min="3585" max="3585" width="12.42578125" customWidth="1"/>
    <col min="3586" max="3586" width="9" customWidth="1"/>
    <col min="3841" max="3841" width="12.42578125" customWidth="1"/>
    <col min="3842" max="3842" width="9" customWidth="1"/>
    <col min="4097" max="4097" width="12.42578125" customWidth="1"/>
    <col min="4098" max="4098" width="9" customWidth="1"/>
    <col min="4353" max="4353" width="12.42578125" customWidth="1"/>
    <col min="4354" max="4354" width="9" customWidth="1"/>
    <col min="4609" max="4609" width="12.42578125" customWidth="1"/>
    <col min="4610" max="4610" width="9" customWidth="1"/>
    <col min="4865" max="4865" width="12.42578125" customWidth="1"/>
    <col min="4866" max="4866" width="9" customWidth="1"/>
    <col min="5121" max="5121" width="12.42578125" customWidth="1"/>
    <col min="5122" max="5122" width="9" customWidth="1"/>
    <col min="5377" max="5377" width="12.42578125" customWidth="1"/>
    <col min="5378" max="5378" width="9" customWidth="1"/>
    <col min="5633" max="5633" width="12.42578125" customWidth="1"/>
    <col min="5634" max="5634" width="9" customWidth="1"/>
    <col min="5889" max="5889" width="12.42578125" customWidth="1"/>
    <col min="5890" max="5890" width="9" customWidth="1"/>
    <col min="6145" max="6145" width="12.42578125" customWidth="1"/>
    <col min="6146" max="6146" width="9" customWidth="1"/>
    <col min="6401" max="6401" width="12.42578125" customWidth="1"/>
    <col min="6402" max="6402" width="9" customWidth="1"/>
    <col min="6657" max="6657" width="12.42578125" customWidth="1"/>
    <col min="6658" max="6658" width="9" customWidth="1"/>
    <col min="6913" max="6913" width="12.42578125" customWidth="1"/>
    <col min="6914" max="6914" width="9" customWidth="1"/>
    <col min="7169" max="7169" width="12.42578125" customWidth="1"/>
    <col min="7170" max="7170" width="9" customWidth="1"/>
    <col min="7425" max="7425" width="12.42578125" customWidth="1"/>
    <col min="7426" max="7426" width="9" customWidth="1"/>
    <col min="7681" max="7681" width="12.42578125" customWidth="1"/>
    <col min="7682" max="7682" width="9" customWidth="1"/>
    <col min="7937" max="7937" width="12.42578125" customWidth="1"/>
    <col min="7938" max="7938" width="9" customWidth="1"/>
    <col min="8193" max="8193" width="12.42578125" customWidth="1"/>
    <col min="8194" max="8194" width="9" customWidth="1"/>
    <col min="8449" max="8449" width="12.42578125" customWidth="1"/>
    <col min="8450" max="8450" width="9" customWidth="1"/>
    <col min="8705" max="8705" width="12.42578125" customWidth="1"/>
    <col min="8706" max="8706" width="9" customWidth="1"/>
    <col min="8961" max="8961" width="12.42578125" customWidth="1"/>
    <col min="8962" max="8962" width="9" customWidth="1"/>
    <col min="9217" max="9217" width="12.42578125" customWidth="1"/>
    <col min="9218" max="9218" width="9" customWidth="1"/>
    <col min="9473" max="9473" width="12.42578125" customWidth="1"/>
    <col min="9474" max="9474" width="9" customWidth="1"/>
    <col min="9729" max="9729" width="12.42578125" customWidth="1"/>
    <col min="9730" max="9730" width="9" customWidth="1"/>
    <col min="9985" max="9985" width="12.42578125" customWidth="1"/>
    <col min="9986" max="9986" width="9" customWidth="1"/>
    <col min="10241" max="10241" width="12.42578125" customWidth="1"/>
    <col min="10242" max="10242" width="9" customWidth="1"/>
    <col min="10497" max="10497" width="12.42578125" customWidth="1"/>
    <col min="10498" max="10498" width="9" customWidth="1"/>
    <col min="10753" max="10753" width="12.42578125" customWidth="1"/>
    <col min="10754" max="10754" width="9" customWidth="1"/>
    <col min="11009" max="11009" width="12.42578125" customWidth="1"/>
    <col min="11010" max="11010" width="9" customWidth="1"/>
    <col min="11265" max="11265" width="12.42578125" customWidth="1"/>
    <col min="11266" max="11266" width="9" customWidth="1"/>
    <col min="11521" max="11521" width="12.42578125" customWidth="1"/>
    <col min="11522" max="11522" width="9" customWidth="1"/>
    <col min="11777" max="11777" width="12.42578125" customWidth="1"/>
    <col min="11778" max="11778" width="9" customWidth="1"/>
    <col min="12033" max="12033" width="12.42578125" customWidth="1"/>
    <col min="12034" max="12034" width="9" customWidth="1"/>
    <col min="12289" max="12289" width="12.42578125" customWidth="1"/>
    <col min="12290" max="12290" width="9" customWidth="1"/>
    <col min="12545" max="12545" width="12.42578125" customWidth="1"/>
    <col min="12546" max="12546" width="9" customWidth="1"/>
    <col min="12801" max="12801" width="12.42578125" customWidth="1"/>
    <col min="12802" max="12802" width="9" customWidth="1"/>
    <col min="13057" max="13057" width="12.42578125" customWidth="1"/>
    <col min="13058" max="13058" width="9" customWidth="1"/>
    <col min="13313" max="13313" width="12.42578125" customWidth="1"/>
    <col min="13314" max="13314" width="9" customWidth="1"/>
    <col min="13569" max="13569" width="12.42578125" customWidth="1"/>
    <col min="13570" max="13570" width="9" customWidth="1"/>
    <col min="13825" max="13825" width="12.42578125" customWidth="1"/>
    <col min="13826" max="13826" width="9" customWidth="1"/>
    <col min="14081" max="14081" width="12.42578125" customWidth="1"/>
    <col min="14082" max="14082" width="9" customWidth="1"/>
    <col min="14337" max="14337" width="12.42578125" customWidth="1"/>
    <col min="14338" max="14338" width="9" customWidth="1"/>
    <col min="14593" max="14593" width="12.42578125" customWidth="1"/>
    <col min="14594" max="14594" width="9" customWidth="1"/>
    <col min="14849" max="14849" width="12.42578125" customWidth="1"/>
    <col min="14850" max="14850" width="9" customWidth="1"/>
    <col min="15105" max="15105" width="12.42578125" customWidth="1"/>
    <col min="15106" max="15106" width="9" customWidth="1"/>
    <col min="15361" max="15361" width="12.42578125" customWidth="1"/>
    <col min="15362" max="15362" width="9" customWidth="1"/>
    <col min="15617" max="15617" width="12.42578125" customWidth="1"/>
    <col min="15618" max="15618" width="9" customWidth="1"/>
    <col min="15873" max="15873" width="12.42578125" customWidth="1"/>
    <col min="15874" max="15874" width="9" customWidth="1"/>
    <col min="16129" max="16129" width="12.42578125" customWidth="1"/>
    <col min="16130" max="16130" width="9" customWidth="1"/>
  </cols>
  <sheetData>
    <row r="1" spans="1:13" ht="18" x14ac:dyDescent="0.25">
      <c r="A1" s="29" t="s">
        <v>129</v>
      </c>
      <c r="B1" s="29"/>
      <c r="C1" s="30"/>
      <c r="D1" s="29"/>
      <c r="F1" s="29"/>
      <c r="G1" s="29">
        <f>RESULTS!I1</f>
        <v>2016</v>
      </c>
      <c r="H1" s="15"/>
      <c r="I1" s="29" t="s">
        <v>38</v>
      </c>
      <c r="J1" s="15"/>
      <c r="K1" s="15"/>
      <c r="L1" s="31">
        <v>1</v>
      </c>
    </row>
    <row r="2" spans="1:13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32"/>
    </row>
    <row r="3" spans="1:13" x14ac:dyDescent="0.25">
      <c r="A3" s="33" t="s">
        <v>39</v>
      </c>
      <c r="C3" s="34" t="s">
        <v>40</v>
      </c>
      <c r="D3" s="34"/>
      <c r="E3" s="34" t="s">
        <v>41</v>
      </c>
      <c r="F3" s="34"/>
      <c r="H3" s="34" t="s">
        <v>42</v>
      </c>
      <c r="K3" s="35" t="s">
        <v>43</v>
      </c>
      <c r="L3">
        <f>C4*L1</f>
        <v>7.8</v>
      </c>
    </row>
    <row r="4" spans="1:13" x14ac:dyDescent="0.25">
      <c r="C4" s="36">
        <f>QUALITY!H14</f>
        <v>7.8</v>
      </c>
      <c r="D4" s="37"/>
      <c r="E4" s="37">
        <f>QUALITY!O14</f>
        <v>208</v>
      </c>
      <c r="F4" s="37"/>
      <c r="H4" s="37">
        <f>E4*C4</f>
        <v>1622.3999999999999</v>
      </c>
      <c r="K4" s="35" t="s">
        <v>44</v>
      </c>
      <c r="L4">
        <f>L3-L6</f>
        <v>7.8</v>
      </c>
    </row>
    <row r="5" spans="1:13" x14ac:dyDescent="0.25">
      <c r="K5" s="35"/>
    </row>
    <row r="6" spans="1:13" x14ac:dyDescent="0.25">
      <c r="K6" s="35" t="s">
        <v>45</v>
      </c>
      <c r="L6" s="37">
        <v>0</v>
      </c>
    </row>
    <row r="7" spans="1:13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3" x14ac:dyDescent="0.25">
      <c r="A8" s="33" t="s">
        <v>46</v>
      </c>
    </row>
    <row r="10" spans="1:13" x14ac:dyDescent="0.25">
      <c r="A10" t="s">
        <v>130</v>
      </c>
      <c r="C10">
        <f>C4</f>
        <v>7.8</v>
      </c>
      <c r="E10" s="37">
        <f>QUALITY!P14</f>
        <v>29.84</v>
      </c>
      <c r="H10">
        <f>E10*C10</f>
        <v>232.75199999999998</v>
      </c>
      <c r="K10" s="35" t="s">
        <v>47</v>
      </c>
      <c r="L10">
        <f>L4*E4</f>
        <v>1622.3999999999999</v>
      </c>
    </row>
    <row r="11" spans="1:13" x14ac:dyDescent="0.25">
      <c r="A11" t="s">
        <v>131</v>
      </c>
      <c r="C11">
        <f>C4</f>
        <v>7.8</v>
      </c>
      <c r="E11" s="37">
        <v>0</v>
      </c>
      <c r="H11">
        <f>E11*C11</f>
        <v>0</v>
      </c>
      <c r="K11" s="35" t="s">
        <v>48</v>
      </c>
      <c r="L11">
        <f>L4*E15</f>
        <v>232.75199999999998</v>
      </c>
    </row>
    <row r="12" spans="1:13" x14ac:dyDescent="0.25">
      <c r="A12" t="s">
        <v>132</v>
      </c>
      <c r="C12">
        <f>C4</f>
        <v>7.8</v>
      </c>
      <c r="E12" s="37">
        <v>0</v>
      </c>
      <c r="H12">
        <f>E12*C12</f>
        <v>0</v>
      </c>
      <c r="K12" s="35"/>
    </row>
    <row r="13" spans="1:13" x14ac:dyDescent="0.25">
      <c r="A13">
        <v>4</v>
      </c>
      <c r="C13">
        <f>C4</f>
        <v>7.8</v>
      </c>
      <c r="E13" s="37">
        <v>0</v>
      </c>
      <c r="H13">
        <f>E13*C13</f>
        <v>0</v>
      </c>
      <c r="K13" s="35" t="s">
        <v>49</v>
      </c>
      <c r="L13">
        <f>L10-L11</f>
        <v>1389.6479999999999</v>
      </c>
    </row>
    <row r="14" spans="1:13" x14ac:dyDescent="0.25">
      <c r="K14" s="35"/>
    </row>
    <row r="15" spans="1:13" x14ac:dyDescent="0.25">
      <c r="C15" s="33" t="s">
        <v>50</v>
      </c>
      <c r="E15">
        <f>SUM(E10:E13)</f>
        <v>29.84</v>
      </c>
      <c r="H15">
        <f>SUM(H10:H13)</f>
        <v>232.75199999999998</v>
      </c>
      <c r="K15" s="35" t="s">
        <v>51</v>
      </c>
      <c r="L15">
        <f>L13*M15</f>
        <v>1389.6479999999999</v>
      </c>
      <c r="M15" s="38">
        <v>1</v>
      </c>
    </row>
    <row r="16" spans="1:13" x14ac:dyDescent="0.25">
      <c r="K16" s="35" t="s">
        <v>52</v>
      </c>
      <c r="L16">
        <f>L13*M16</f>
        <v>0</v>
      </c>
      <c r="M16" s="38">
        <v>0</v>
      </c>
    </row>
    <row r="17" spans="1:13" x14ac:dyDescent="0.25">
      <c r="C17" s="33" t="s">
        <v>53</v>
      </c>
      <c r="E17">
        <f>E4-E15</f>
        <v>178.16</v>
      </c>
      <c r="H17">
        <f>H4-H15</f>
        <v>1389.6479999999999</v>
      </c>
      <c r="K17" s="35" t="s">
        <v>54</v>
      </c>
      <c r="L17">
        <f>L13*M17</f>
        <v>0</v>
      </c>
      <c r="M17" s="38">
        <v>0</v>
      </c>
    </row>
    <row r="18" spans="1:13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20" spans="1:13" x14ac:dyDescent="0.25">
      <c r="A20" s="33" t="s">
        <v>55</v>
      </c>
      <c r="C20" s="34" t="s">
        <v>56</v>
      </c>
      <c r="D20" s="34" t="s">
        <v>57</v>
      </c>
      <c r="E20" s="34" t="s">
        <v>58</v>
      </c>
      <c r="F20" s="34" t="s">
        <v>57</v>
      </c>
      <c r="G20" s="34"/>
      <c r="H20" s="34" t="s">
        <v>59</v>
      </c>
    </row>
    <row r="22" spans="1:13" x14ac:dyDescent="0.25">
      <c r="A22" t="s">
        <v>60</v>
      </c>
      <c r="C22" s="37">
        <v>68</v>
      </c>
      <c r="D22" t="s">
        <v>61</v>
      </c>
      <c r="E22" s="37">
        <f>E4/1000</f>
        <v>0.20799999999999999</v>
      </c>
      <c r="F22" t="s">
        <v>62</v>
      </c>
      <c r="H22">
        <f>C22*E22</f>
        <v>14.144</v>
      </c>
      <c r="I22" s="48"/>
      <c r="L22" s="39">
        <f>H22*$L$1</f>
        <v>14.144</v>
      </c>
    </row>
    <row r="23" spans="1:13" x14ac:dyDescent="0.25">
      <c r="A23" t="s">
        <v>63</v>
      </c>
      <c r="C23" s="37">
        <v>70</v>
      </c>
      <c r="D23" t="s">
        <v>95</v>
      </c>
      <c r="E23" s="37">
        <f>'COO BR'!E23</f>
        <v>50</v>
      </c>
      <c r="F23" t="s">
        <v>70</v>
      </c>
      <c r="H23">
        <f>E23*C23/1000</f>
        <v>3.5</v>
      </c>
      <c r="L23" s="39">
        <f t="shared" ref="L23:L34" si="0">H23*$L$1</f>
        <v>3.5</v>
      </c>
    </row>
    <row r="24" spans="1:13" x14ac:dyDescent="0.25">
      <c r="A24" t="s">
        <v>64</v>
      </c>
      <c r="B24" s="40" t="s">
        <v>122</v>
      </c>
      <c r="C24" s="37">
        <v>100</v>
      </c>
      <c r="D24" t="s">
        <v>61</v>
      </c>
      <c r="E24" s="37">
        <f>'COO BR'!E24</f>
        <v>998</v>
      </c>
      <c r="F24" t="s">
        <v>65</v>
      </c>
      <c r="H24">
        <f>C24*E24/1000</f>
        <v>99.8</v>
      </c>
      <c r="L24" s="39">
        <f t="shared" si="0"/>
        <v>99.8</v>
      </c>
    </row>
    <row r="25" spans="1:13" x14ac:dyDescent="0.25">
      <c r="A25" t="s">
        <v>66</v>
      </c>
      <c r="B25" s="40" t="s">
        <v>121</v>
      </c>
      <c r="C25" s="37">
        <v>100</v>
      </c>
      <c r="D25" t="s">
        <v>69</v>
      </c>
      <c r="E25" s="37">
        <f>'COO BR'!E25</f>
        <v>750</v>
      </c>
      <c r="F25" t="s">
        <v>133</v>
      </c>
      <c r="H25">
        <f>C25*E25/1000</f>
        <v>75</v>
      </c>
      <c r="L25" s="39">
        <f>H25*L1</f>
        <v>75</v>
      </c>
    </row>
    <row r="26" spans="1:13" x14ac:dyDescent="0.25">
      <c r="A26" t="s">
        <v>68</v>
      </c>
      <c r="B26" s="40" t="s">
        <v>120</v>
      </c>
      <c r="C26" s="37">
        <v>2</v>
      </c>
      <c r="D26" t="s">
        <v>69</v>
      </c>
      <c r="E26" s="37">
        <f>'COO BR'!E26</f>
        <v>8</v>
      </c>
      <c r="F26" t="s">
        <v>70</v>
      </c>
      <c r="H26">
        <f>E26*C26</f>
        <v>16</v>
      </c>
      <c r="L26" s="39">
        <f t="shared" si="0"/>
        <v>16</v>
      </c>
    </row>
    <row r="27" spans="1:13" x14ac:dyDescent="0.25">
      <c r="A27" t="s">
        <v>71</v>
      </c>
      <c r="B27" s="40" t="s">
        <v>119</v>
      </c>
      <c r="C27" s="37">
        <v>0.15</v>
      </c>
      <c r="D27" t="s">
        <v>69</v>
      </c>
      <c r="E27" s="37">
        <f>'COO BR'!E27</f>
        <v>50</v>
      </c>
      <c r="F27" t="s">
        <v>70</v>
      </c>
      <c r="H27">
        <f>E27*C27</f>
        <v>7.5</v>
      </c>
      <c r="L27" s="39">
        <f t="shared" si="0"/>
        <v>7.5</v>
      </c>
    </row>
    <row r="28" spans="1:13" x14ac:dyDescent="0.25">
      <c r="A28" t="s">
        <v>72</v>
      </c>
      <c r="B28" s="40" t="s">
        <v>118</v>
      </c>
      <c r="C28" s="37">
        <v>1.8</v>
      </c>
      <c r="D28" t="s">
        <v>69</v>
      </c>
      <c r="E28" s="37">
        <f>'COO BR'!E28</f>
        <v>20</v>
      </c>
      <c r="F28" t="s">
        <v>70</v>
      </c>
      <c r="H28">
        <f>E28*C28</f>
        <v>36</v>
      </c>
      <c r="L28" s="39">
        <f t="shared" si="0"/>
        <v>36</v>
      </c>
    </row>
    <row r="29" spans="1:13" x14ac:dyDescent="0.25">
      <c r="A29" t="s">
        <v>73</v>
      </c>
      <c r="B29" s="40" t="s">
        <v>134</v>
      </c>
      <c r="C29" s="37">
        <v>1</v>
      </c>
      <c r="D29" t="s">
        <v>69</v>
      </c>
      <c r="E29" s="37">
        <v>11</v>
      </c>
      <c r="F29" t="s">
        <v>70</v>
      </c>
      <c r="H29">
        <f>E29*C29</f>
        <v>11</v>
      </c>
      <c r="L29" s="39">
        <f t="shared" si="0"/>
        <v>11</v>
      </c>
    </row>
    <row r="30" spans="1:13" x14ac:dyDescent="0.25">
      <c r="A30" t="s">
        <v>74</v>
      </c>
      <c r="B30" s="40" t="s">
        <v>117</v>
      </c>
      <c r="C30" s="37">
        <v>7.4999999999999997E-2</v>
      </c>
      <c r="D30" t="s">
        <v>69</v>
      </c>
      <c r="E30" s="37">
        <f>'COO BR'!E30</f>
        <v>20</v>
      </c>
      <c r="F30" t="s">
        <v>70</v>
      </c>
      <c r="H30">
        <f t="shared" ref="H30:H31" si="1">E30*C30</f>
        <v>1.5</v>
      </c>
      <c r="L30" s="39">
        <f t="shared" si="0"/>
        <v>1.5</v>
      </c>
    </row>
    <row r="31" spans="1:13" x14ac:dyDescent="0.25">
      <c r="A31" t="s">
        <v>96</v>
      </c>
      <c r="B31" s="40" t="s">
        <v>97</v>
      </c>
      <c r="C31" s="37">
        <v>0</v>
      </c>
      <c r="D31" t="s">
        <v>69</v>
      </c>
      <c r="E31" s="37">
        <f>'COO BR'!E31</f>
        <v>16</v>
      </c>
      <c r="F31" t="s">
        <v>70</v>
      </c>
      <c r="H31">
        <f t="shared" si="1"/>
        <v>0</v>
      </c>
      <c r="L31" s="39">
        <f t="shared" si="0"/>
        <v>0</v>
      </c>
    </row>
    <row r="32" spans="1:13" x14ac:dyDescent="0.25">
      <c r="A32" t="s">
        <v>75</v>
      </c>
      <c r="C32" s="41">
        <v>0.01</v>
      </c>
      <c r="E32" s="45"/>
      <c r="H32" s="42">
        <f>C32*H4</f>
        <v>16.224</v>
      </c>
      <c r="L32" s="39">
        <f t="shared" si="0"/>
        <v>16.224</v>
      </c>
    </row>
    <row r="33" spans="1:12" x14ac:dyDescent="0.25">
      <c r="A33" t="s">
        <v>76</v>
      </c>
      <c r="C33" s="43">
        <f>C13</f>
        <v>7.8</v>
      </c>
      <c r="D33" t="s">
        <v>77</v>
      </c>
      <c r="E33" s="37">
        <v>0</v>
      </c>
      <c r="F33" t="s">
        <v>65</v>
      </c>
      <c r="H33" s="39">
        <f>E33*C33</f>
        <v>0</v>
      </c>
      <c r="L33" s="39">
        <f t="shared" si="0"/>
        <v>0</v>
      </c>
    </row>
    <row r="34" spans="1:12" x14ac:dyDescent="0.25">
      <c r="A34" t="s">
        <v>78</v>
      </c>
      <c r="C34" s="37">
        <v>9</v>
      </c>
      <c r="D34" t="s">
        <v>69</v>
      </c>
      <c r="E34" s="37">
        <f>'COO BR'!E34</f>
        <v>1.5</v>
      </c>
      <c r="F34" t="s">
        <v>70</v>
      </c>
      <c r="H34">
        <f>E34*C34</f>
        <v>13.5</v>
      </c>
      <c r="L34" s="39">
        <f t="shared" si="0"/>
        <v>13.5</v>
      </c>
    </row>
    <row r="35" spans="1:12" x14ac:dyDescent="0.25">
      <c r="C35" s="44"/>
      <c r="E35" s="45"/>
      <c r="L35" s="39"/>
    </row>
    <row r="36" spans="1:12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8" spans="1:12" x14ac:dyDescent="0.25">
      <c r="F38" s="46" t="s">
        <v>79</v>
      </c>
      <c r="H38" s="47">
        <f>SUM(H22:H36)</f>
        <v>294.16799999999995</v>
      </c>
      <c r="K38" s="46" t="s">
        <v>80</v>
      </c>
      <c r="L38" s="39">
        <f>SUM(L22:L37)</f>
        <v>294.16799999999995</v>
      </c>
    </row>
    <row r="39" spans="1:12" x14ac:dyDescent="0.25">
      <c r="H39" s="47"/>
      <c r="K39" s="46"/>
      <c r="L39" s="39"/>
    </row>
    <row r="40" spans="1:12" x14ac:dyDescent="0.25">
      <c r="H40" s="47"/>
      <c r="K40" s="46" t="s">
        <v>81</v>
      </c>
      <c r="L40" s="39">
        <f>L13-L38</f>
        <v>1095.48</v>
      </c>
    </row>
    <row r="41" spans="1:12" x14ac:dyDescent="0.25">
      <c r="H41" s="47"/>
      <c r="K41" s="46" t="s">
        <v>82</v>
      </c>
      <c r="L41" s="39">
        <f>L6*E17</f>
        <v>0</v>
      </c>
    </row>
    <row r="42" spans="1:12" x14ac:dyDescent="0.25">
      <c r="H42" s="47"/>
      <c r="K42" s="46"/>
      <c r="L42" s="39"/>
    </row>
    <row r="43" spans="1:12" x14ac:dyDescent="0.25">
      <c r="F43" s="46" t="s">
        <v>83</v>
      </c>
      <c r="H43" s="47">
        <f>H17-H38</f>
        <v>1095.48</v>
      </c>
      <c r="K43" s="46" t="s">
        <v>84</v>
      </c>
      <c r="L43" s="39">
        <f>L40+L41</f>
        <v>1095.48</v>
      </c>
    </row>
    <row r="44" spans="1:12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6" spans="1:12" x14ac:dyDescent="0.25">
      <c r="A46" s="33" t="s">
        <v>85</v>
      </c>
      <c r="C46" s="47">
        <f>H38/E4</f>
        <v>1.4142692307692306</v>
      </c>
    </row>
    <row r="47" spans="1:12" x14ac:dyDescent="0.25">
      <c r="C47" s="47"/>
    </row>
    <row r="48" spans="1:12" x14ac:dyDescent="0.25">
      <c r="A48" s="33" t="s">
        <v>86</v>
      </c>
      <c r="C48" s="47">
        <f>H38/C4</f>
        <v>37.713846153846148</v>
      </c>
    </row>
    <row r="49" spans="1:12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1" spans="1:12" x14ac:dyDescent="0.25">
      <c r="A51" s="33" t="s">
        <v>87</v>
      </c>
      <c r="E51" s="35" t="s">
        <v>88</v>
      </c>
      <c r="F51" s="50">
        <f>H38</f>
        <v>294.16799999999995</v>
      </c>
      <c r="G51" t="s">
        <v>89</v>
      </c>
    </row>
    <row r="53" spans="1:12" x14ac:dyDescent="0.25">
      <c r="A53" t="s">
        <v>101</v>
      </c>
      <c r="C53" s="37"/>
    </row>
    <row r="54" spans="1:12" x14ac:dyDescent="0.25">
      <c r="A54" t="s">
        <v>106</v>
      </c>
      <c r="C54" s="37"/>
    </row>
    <row r="55" spans="1:12" x14ac:dyDescent="0.25">
      <c r="E55" s="34" t="s">
        <v>91</v>
      </c>
    </row>
    <row r="56" spans="1:12" x14ac:dyDescent="0.25">
      <c r="C56" s="46" t="s">
        <v>90</v>
      </c>
      <c r="D56" s="33">
        <f>MIN(QUALITY!O12:O15)</f>
        <v>208</v>
      </c>
      <c r="E56" s="33">
        <f>AVERAGE(QUALITY!O12:O15)</f>
        <v>218.75</v>
      </c>
      <c r="F56" s="33">
        <f>MAX(QUALITY!O12:O15)</f>
        <v>233</v>
      </c>
    </row>
    <row r="57" spans="1:12" x14ac:dyDescent="0.25">
      <c r="A57" s="33" t="s">
        <v>92</v>
      </c>
      <c r="C57" s="33">
        <f>MAX(QUALITY!H12:H15)</f>
        <v>7.8</v>
      </c>
      <c r="D57" s="39">
        <f>C57*(D56-$E$15)-$H$38</f>
        <v>1095.48</v>
      </c>
      <c r="E57" s="39">
        <f>C57*(E56-$E$15)-$H$38</f>
        <v>1179.3300000000002</v>
      </c>
      <c r="F57" s="39">
        <f>C57*(F56-$E$15)-$H$38</f>
        <v>1290.48</v>
      </c>
    </row>
    <row r="58" spans="1:12" x14ac:dyDescent="0.25">
      <c r="A58" s="33" t="s">
        <v>93</v>
      </c>
      <c r="C58" s="52">
        <f>AVERAGE(QUALITY!H12:H15)</f>
        <v>6.4750000000000005</v>
      </c>
      <c r="D58" s="39">
        <f>C58*(D56-$E$15)-$H$38</f>
        <v>859.41800000000012</v>
      </c>
      <c r="E58" s="39">
        <f>C58*(E56-$E$15)-$H$38</f>
        <v>929.02425000000017</v>
      </c>
      <c r="F58" s="39">
        <f>C58*(F56-$E$15)-$H$38</f>
        <v>1021.2930000000001</v>
      </c>
    </row>
    <row r="59" spans="1:12" x14ac:dyDescent="0.25">
      <c r="A59" s="33" t="s">
        <v>94</v>
      </c>
      <c r="C59" s="33">
        <f>MIN(QUALITY!H12:H15)</f>
        <v>5.5</v>
      </c>
      <c r="D59" s="39">
        <f>C59*(D56-$E$15)-$H$38</f>
        <v>685.71199999999999</v>
      </c>
      <c r="E59" s="39">
        <f>C59*(E56-$E$15)-$H$38</f>
        <v>744.83699999999999</v>
      </c>
      <c r="F59" s="39">
        <f>C59*(F56-$E$15)-$H$38</f>
        <v>823.21199999999999</v>
      </c>
    </row>
    <row r="60" spans="1:12" x14ac:dyDescent="0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</row>
  </sheetData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workbookViewId="0"/>
  </sheetViews>
  <sheetFormatPr defaultRowHeight="15" x14ac:dyDescent="0.25"/>
  <cols>
    <col min="1" max="1" width="12.42578125" customWidth="1"/>
    <col min="2" max="2" width="9" customWidth="1"/>
    <col min="12" max="12" width="10.5703125" bestFit="1" customWidth="1"/>
    <col min="257" max="257" width="12.42578125" customWidth="1"/>
    <col min="258" max="258" width="9" customWidth="1"/>
    <col min="513" max="513" width="12.42578125" customWidth="1"/>
    <col min="514" max="514" width="9" customWidth="1"/>
    <col min="769" max="769" width="12.42578125" customWidth="1"/>
    <col min="770" max="770" width="9" customWidth="1"/>
    <col min="1025" max="1025" width="12.42578125" customWidth="1"/>
    <col min="1026" max="1026" width="9" customWidth="1"/>
    <col min="1281" max="1281" width="12.42578125" customWidth="1"/>
    <col min="1282" max="1282" width="9" customWidth="1"/>
    <col min="1537" max="1537" width="12.42578125" customWidth="1"/>
    <col min="1538" max="1538" width="9" customWidth="1"/>
    <col min="1793" max="1793" width="12.42578125" customWidth="1"/>
    <col min="1794" max="1794" width="9" customWidth="1"/>
    <col min="2049" max="2049" width="12.42578125" customWidth="1"/>
    <col min="2050" max="2050" width="9" customWidth="1"/>
    <col min="2305" max="2305" width="12.42578125" customWidth="1"/>
    <col min="2306" max="2306" width="9" customWidth="1"/>
    <col min="2561" max="2561" width="12.42578125" customWidth="1"/>
    <col min="2562" max="2562" width="9" customWidth="1"/>
    <col min="2817" max="2817" width="12.42578125" customWidth="1"/>
    <col min="2818" max="2818" width="9" customWidth="1"/>
    <col min="3073" max="3073" width="12.42578125" customWidth="1"/>
    <col min="3074" max="3074" width="9" customWidth="1"/>
    <col min="3329" max="3329" width="12.42578125" customWidth="1"/>
    <col min="3330" max="3330" width="9" customWidth="1"/>
    <col min="3585" max="3585" width="12.42578125" customWidth="1"/>
    <col min="3586" max="3586" width="9" customWidth="1"/>
    <col min="3841" max="3841" width="12.42578125" customWidth="1"/>
    <col min="3842" max="3842" width="9" customWidth="1"/>
    <col min="4097" max="4097" width="12.42578125" customWidth="1"/>
    <col min="4098" max="4098" width="9" customWidth="1"/>
    <col min="4353" max="4353" width="12.42578125" customWidth="1"/>
    <col min="4354" max="4354" width="9" customWidth="1"/>
    <col min="4609" max="4609" width="12.42578125" customWidth="1"/>
    <col min="4610" max="4610" width="9" customWidth="1"/>
    <col min="4865" max="4865" width="12.42578125" customWidth="1"/>
    <col min="4866" max="4866" width="9" customWidth="1"/>
    <col min="5121" max="5121" width="12.42578125" customWidth="1"/>
    <col min="5122" max="5122" width="9" customWidth="1"/>
    <col min="5377" max="5377" width="12.42578125" customWidth="1"/>
    <col min="5378" max="5378" width="9" customWidth="1"/>
    <col min="5633" max="5633" width="12.42578125" customWidth="1"/>
    <col min="5634" max="5634" width="9" customWidth="1"/>
    <col min="5889" max="5889" width="12.42578125" customWidth="1"/>
    <col min="5890" max="5890" width="9" customWidth="1"/>
    <col min="6145" max="6145" width="12.42578125" customWidth="1"/>
    <col min="6146" max="6146" width="9" customWidth="1"/>
    <col min="6401" max="6401" width="12.42578125" customWidth="1"/>
    <col min="6402" max="6402" width="9" customWidth="1"/>
    <col min="6657" max="6657" width="12.42578125" customWidth="1"/>
    <col min="6658" max="6658" width="9" customWidth="1"/>
    <col min="6913" max="6913" width="12.42578125" customWidth="1"/>
    <col min="6914" max="6914" width="9" customWidth="1"/>
    <col min="7169" max="7169" width="12.42578125" customWidth="1"/>
    <col min="7170" max="7170" width="9" customWidth="1"/>
    <col min="7425" max="7425" width="12.42578125" customWidth="1"/>
    <col min="7426" max="7426" width="9" customWidth="1"/>
    <col min="7681" max="7681" width="12.42578125" customWidth="1"/>
    <col min="7682" max="7682" width="9" customWidth="1"/>
    <col min="7937" max="7937" width="12.42578125" customWidth="1"/>
    <col min="7938" max="7938" width="9" customWidth="1"/>
    <col min="8193" max="8193" width="12.42578125" customWidth="1"/>
    <col min="8194" max="8194" width="9" customWidth="1"/>
    <col min="8449" max="8449" width="12.42578125" customWidth="1"/>
    <col min="8450" max="8450" width="9" customWidth="1"/>
    <col min="8705" max="8705" width="12.42578125" customWidth="1"/>
    <col min="8706" max="8706" width="9" customWidth="1"/>
    <col min="8961" max="8961" width="12.42578125" customWidth="1"/>
    <col min="8962" max="8962" width="9" customWidth="1"/>
    <col min="9217" max="9217" width="12.42578125" customWidth="1"/>
    <col min="9218" max="9218" width="9" customWidth="1"/>
    <col min="9473" max="9473" width="12.42578125" customWidth="1"/>
    <col min="9474" max="9474" width="9" customWidth="1"/>
    <col min="9729" max="9729" width="12.42578125" customWidth="1"/>
    <col min="9730" max="9730" width="9" customWidth="1"/>
    <col min="9985" max="9985" width="12.42578125" customWidth="1"/>
    <col min="9986" max="9986" width="9" customWidth="1"/>
    <col min="10241" max="10241" width="12.42578125" customWidth="1"/>
    <col min="10242" max="10242" width="9" customWidth="1"/>
    <col min="10497" max="10497" width="12.42578125" customWidth="1"/>
    <col min="10498" max="10498" width="9" customWidth="1"/>
    <col min="10753" max="10753" width="12.42578125" customWidth="1"/>
    <col min="10754" max="10754" width="9" customWidth="1"/>
    <col min="11009" max="11009" width="12.42578125" customWidth="1"/>
    <col min="11010" max="11010" width="9" customWidth="1"/>
    <col min="11265" max="11265" width="12.42578125" customWidth="1"/>
    <col min="11266" max="11266" width="9" customWidth="1"/>
    <col min="11521" max="11521" width="12.42578125" customWidth="1"/>
    <col min="11522" max="11522" width="9" customWidth="1"/>
    <col min="11777" max="11777" width="12.42578125" customWidth="1"/>
    <col min="11778" max="11778" width="9" customWidth="1"/>
    <col min="12033" max="12033" width="12.42578125" customWidth="1"/>
    <col min="12034" max="12034" width="9" customWidth="1"/>
    <col min="12289" max="12289" width="12.42578125" customWidth="1"/>
    <col min="12290" max="12290" width="9" customWidth="1"/>
    <col min="12545" max="12545" width="12.42578125" customWidth="1"/>
    <col min="12546" max="12546" width="9" customWidth="1"/>
    <col min="12801" max="12801" width="12.42578125" customWidth="1"/>
    <col min="12802" max="12802" width="9" customWidth="1"/>
    <col min="13057" max="13057" width="12.42578125" customWidth="1"/>
    <col min="13058" max="13058" width="9" customWidth="1"/>
    <col min="13313" max="13313" width="12.42578125" customWidth="1"/>
    <col min="13314" max="13314" width="9" customWidth="1"/>
    <col min="13569" max="13569" width="12.42578125" customWidth="1"/>
    <col min="13570" max="13570" width="9" customWidth="1"/>
    <col min="13825" max="13825" width="12.42578125" customWidth="1"/>
    <col min="13826" max="13826" width="9" customWidth="1"/>
    <col min="14081" max="14081" width="12.42578125" customWidth="1"/>
    <col min="14082" max="14082" width="9" customWidth="1"/>
    <col min="14337" max="14337" width="12.42578125" customWidth="1"/>
    <col min="14338" max="14338" width="9" customWidth="1"/>
    <col min="14593" max="14593" width="12.42578125" customWidth="1"/>
    <col min="14594" max="14594" width="9" customWidth="1"/>
    <col min="14849" max="14849" width="12.42578125" customWidth="1"/>
    <col min="14850" max="14850" width="9" customWidth="1"/>
    <col min="15105" max="15105" width="12.42578125" customWidth="1"/>
    <col min="15106" max="15106" width="9" customWidth="1"/>
    <col min="15361" max="15361" width="12.42578125" customWidth="1"/>
    <col min="15362" max="15362" width="9" customWidth="1"/>
    <col min="15617" max="15617" width="12.42578125" customWidth="1"/>
    <col min="15618" max="15618" width="9" customWidth="1"/>
    <col min="15873" max="15873" width="12.42578125" customWidth="1"/>
    <col min="15874" max="15874" width="9" customWidth="1"/>
    <col min="16129" max="16129" width="12.42578125" customWidth="1"/>
    <col min="16130" max="16130" width="9" customWidth="1"/>
  </cols>
  <sheetData>
    <row r="1" spans="1:13" ht="18" x14ac:dyDescent="0.25">
      <c r="A1" s="29" t="s">
        <v>135</v>
      </c>
      <c r="B1" s="29"/>
      <c r="C1" s="30"/>
      <c r="D1" s="29"/>
      <c r="F1" s="29"/>
      <c r="G1" s="29">
        <f>RESULTS!I1</f>
        <v>2016</v>
      </c>
      <c r="H1" s="15"/>
      <c r="I1" s="29" t="s">
        <v>38</v>
      </c>
      <c r="J1" s="15"/>
      <c r="K1" s="15"/>
      <c r="L1" s="31">
        <v>1</v>
      </c>
    </row>
    <row r="2" spans="1:13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32"/>
    </row>
    <row r="3" spans="1:13" x14ac:dyDescent="0.25">
      <c r="A3" s="33" t="s">
        <v>39</v>
      </c>
      <c r="C3" s="34" t="s">
        <v>40</v>
      </c>
      <c r="D3" s="34"/>
      <c r="E3" s="34" t="s">
        <v>41</v>
      </c>
      <c r="F3" s="34"/>
      <c r="H3" s="34" t="s">
        <v>42</v>
      </c>
      <c r="K3" s="35" t="s">
        <v>43</v>
      </c>
      <c r="L3" s="47">
        <f>C4*L1</f>
        <v>7.3</v>
      </c>
    </row>
    <row r="4" spans="1:13" x14ac:dyDescent="0.25">
      <c r="C4" s="36">
        <f>QUALITY!I18</f>
        <v>7.3</v>
      </c>
      <c r="D4" s="37"/>
      <c r="E4" s="37">
        <f>QUALITY!O18</f>
        <v>400</v>
      </c>
      <c r="F4" s="37"/>
      <c r="H4" s="37">
        <f>E4*C4</f>
        <v>2920</v>
      </c>
      <c r="K4" s="35" t="s">
        <v>44</v>
      </c>
      <c r="L4" s="47">
        <f>L3-L6</f>
        <v>7.3</v>
      </c>
    </row>
    <row r="5" spans="1:13" x14ac:dyDescent="0.25">
      <c r="K5" s="35"/>
      <c r="L5" s="47"/>
    </row>
    <row r="6" spans="1:13" x14ac:dyDescent="0.25">
      <c r="K6" s="35" t="s">
        <v>45</v>
      </c>
      <c r="L6" s="36">
        <v>0</v>
      </c>
    </row>
    <row r="7" spans="1:13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8"/>
    </row>
    <row r="8" spans="1:13" x14ac:dyDescent="0.25">
      <c r="A8" s="33" t="s">
        <v>46</v>
      </c>
      <c r="L8" s="47"/>
    </row>
    <row r="9" spans="1:13" x14ac:dyDescent="0.25">
      <c r="L9" s="47"/>
    </row>
    <row r="10" spans="1:13" x14ac:dyDescent="0.25">
      <c r="A10" t="s">
        <v>137</v>
      </c>
      <c r="C10" s="47">
        <f>C4</f>
        <v>7.3</v>
      </c>
      <c r="E10" s="37">
        <f>QUALITY!P18</f>
        <v>32</v>
      </c>
      <c r="H10" s="47">
        <f>E10*C10</f>
        <v>233.6</v>
      </c>
      <c r="K10" s="35" t="s">
        <v>47</v>
      </c>
      <c r="L10" s="47">
        <f>L4*E4</f>
        <v>2920</v>
      </c>
    </row>
    <row r="11" spans="1:13" x14ac:dyDescent="0.25">
      <c r="A11" t="s">
        <v>126</v>
      </c>
      <c r="C11" s="47">
        <f>C4</f>
        <v>7.3</v>
      </c>
      <c r="E11" s="37">
        <v>0</v>
      </c>
      <c r="H11" s="47">
        <f>E11*C11</f>
        <v>0</v>
      </c>
      <c r="K11" s="35" t="s">
        <v>48</v>
      </c>
      <c r="L11" s="47">
        <f>L4*E15</f>
        <v>233.6</v>
      </c>
    </row>
    <row r="12" spans="1:13" x14ac:dyDescent="0.25">
      <c r="A12" t="s">
        <v>127</v>
      </c>
      <c r="C12" s="47">
        <f>C4</f>
        <v>7.3</v>
      </c>
      <c r="E12" s="37">
        <v>0</v>
      </c>
      <c r="H12" s="47">
        <f>E12*C12</f>
        <v>0</v>
      </c>
      <c r="K12" s="35"/>
      <c r="L12" s="47"/>
    </row>
    <row r="13" spans="1:13" x14ac:dyDescent="0.25">
      <c r="A13" t="s">
        <v>136</v>
      </c>
      <c r="C13" s="47">
        <f>C4</f>
        <v>7.3</v>
      </c>
      <c r="E13" s="37">
        <v>0</v>
      </c>
      <c r="H13" s="47">
        <f>E13*C13</f>
        <v>0</v>
      </c>
      <c r="K13" s="35" t="s">
        <v>49</v>
      </c>
      <c r="L13" s="47">
        <f>L10-L11</f>
        <v>2686.4</v>
      </c>
    </row>
    <row r="14" spans="1:13" x14ac:dyDescent="0.25">
      <c r="H14" s="47"/>
      <c r="K14" s="35"/>
      <c r="L14" s="47"/>
    </row>
    <row r="15" spans="1:13" x14ac:dyDescent="0.25">
      <c r="C15" s="33" t="s">
        <v>50</v>
      </c>
      <c r="E15">
        <f>SUM(E10:E13)</f>
        <v>32</v>
      </c>
      <c r="H15" s="47">
        <f>SUM(H10:H13)</f>
        <v>233.6</v>
      </c>
      <c r="K15" s="35" t="s">
        <v>51</v>
      </c>
      <c r="L15" s="47">
        <f>L13*M15</f>
        <v>2686.4</v>
      </c>
      <c r="M15" s="38">
        <v>1</v>
      </c>
    </row>
    <row r="16" spans="1:13" x14ac:dyDescent="0.25">
      <c r="K16" s="35" t="s">
        <v>52</v>
      </c>
      <c r="L16" s="47">
        <f>L13*M16</f>
        <v>0</v>
      </c>
      <c r="M16" s="38">
        <v>0</v>
      </c>
    </row>
    <row r="17" spans="1:13" x14ac:dyDescent="0.25">
      <c r="C17" s="33" t="s">
        <v>53</v>
      </c>
      <c r="E17">
        <f>E4-E15</f>
        <v>368</v>
      </c>
      <c r="H17" s="47">
        <f>H4-H15</f>
        <v>2686.4</v>
      </c>
      <c r="K17" s="35" t="s">
        <v>54</v>
      </c>
      <c r="L17" s="47">
        <f>L13*M17</f>
        <v>0</v>
      </c>
      <c r="M17" s="38">
        <v>0</v>
      </c>
    </row>
    <row r="18" spans="1:13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20" spans="1:13" x14ac:dyDescent="0.25">
      <c r="A20" s="33" t="s">
        <v>55</v>
      </c>
      <c r="C20" s="34" t="s">
        <v>56</v>
      </c>
      <c r="D20" s="34" t="s">
        <v>57</v>
      </c>
      <c r="E20" s="34" t="s">
        <v>58</v>
      </c>
      <c r="F20" s="34" t="s">
        <v>57</v>
      </c>
      <c r="G20" s="34"/>
      <c r="H20" s="34" t="s">
        <v>59</v>
      </c>
    </row>
    <row r="22" spans="1:13" x14ac:dyDescent="0.25">
      <c r="A22" t="s">
        <v>60</v>
      </c>
      <c r="C22" s="37">
        <v>68</v>
      </c>
      <c r="D22" t="s">
        <v>61</v>
      </c>
      <c r="E22" s="37">
        <f>'COO BR'!E22</f>
        <v>0.218</v>
      </c>
      <c r="F22" t="s">
        <v>62</v>
      </c>
      <c r="H22">
        <f>C22*E22</f>
        <v>14.824</v>
      </c>
      <c r="I22" s="37"/>
      <c r="L22" s="39">
        <f>H22*$L$1</f>
        <v>14.824</v>
      </c>
    </row>
    <row r="23" spans="1:13" x14ac:dyDescent="0.25">
      <c r="A23" t="s">
        <v>63</v>
      </c>
      <c r="C23" s="37">
        <f>[1]INPUT!D22</f>
        <v>0</v>
      </c>
      <c r="D23" t="s">
        <v>61</v>
      </c>
      <c r="E23" s="37">
        <f>'COO BR'!E23</f>
        <v>50</v>
      </c>
      <c r="F23" t="s">
        <v>62</v>
      </c>
      <c r="H23">
        <f>E23*C23</f>
        <v>0</v>
      </c>
      <c r="L23" s="39">
        <f t="shared" ref="L23:L34" si="0">H23*$L$1</f>
        <v>0</v>
      </c>
    </row>
    <row r="24" spans="1:13" x14ac:dyDescent="0.25">
      <c r="A24" t="s">
        <v>64</v>
      </c>
      <c r="B24" s="40" t="s">
        <v>122</v>
      </c>
      <c r="C24" s="37">
        <v>100</v>
      </c>
      <c r="D24" t="s">
        <v>61</v>
      </c>
      <c r="E24" s="37">
        <f>'COO BR'!E24</f>
        <v>998</v>
      </c>
      <c r="F24" t="s">
        <v>65</v>
      </c>
      <c r="H24">
        <f>C24*E24/1000</f>
        <v>99.8</v>
      </c>
      <c r="L24" s="39">
        <f t="shared" si="0"/>
        <v>99.8</v>
      </c>
    </row>
    <row r="25" spans="1:13" x14ac:dyDescent="0.25">
      <c r="A25" t="s">
        <v>66</v>
      </c>
      <c r="B25" s="40" t="s">
        <v>121</v>
      </c>
      <c r="C25" s="37">
        <v>375</v>
      </c>
      <c r="D25" t="s">
        <v>67</v>
      </c>
      <c r="E25" s="37">
        <f>'COO BR'!E25</f>
        <v>750</v>
      </c>
      <c r="F25" t="s">
        <v>133</v>
      </c>
      <c r="H25">
        <f>C25*E25/1000</f>
        <v>281.25</v>
      </c>
      <c r="L25" s="39">
        <f>H25*L1</f>
        <v>281.25</v>
      </c>
    </row>
    <row r="26" spans="1:13" x14ac:dyDescent="0.25">
      <c r="A26" t="s">
        <v>68</v>
      </c>
      <c r="B26" s="40" t="s">
        <v>120</v>
      </c>
      <c r="C26" s="37">
        <f>'RAC BR'!C26</f>
        <v>2</v>
      </c>
      <c r="D26" t="s">
        <v>69</v>
      </c>
      <c r="E26" s="37">
        <f>'COO BR'!E26</f>
        <v>8</v>
      </c>
      <c r="F26" t="s">
        <v>70</v>
      </c>
      <c r="H26">
        <f t="shared" ref="H26:H31" si="1">E26*C26</f>
        <v>16</v>
      </c>
      <c r="L26" s="39">
        <f t="shared" si="0"/>
        <v>16</v>
      </c>
    </row>
    <row r="27" spans="1:13" x14ac:dyDescent="0.25">
      <c r="A27" t="s">
        <v>71</v>
      </c>
      <c r="B27" s="40" t="s">
        <v>119</v>
      </c>
      <c r="C27" s="37">
        <f>'RAC BR'!C27</f>
        <v>0.15</v>
      </c>
      <c r="D27" t="s">
        <v>69</v>
      </c>
      <c r="E27" s="37">
        <f>'COO BR'!E27</f>
        <v>50</v>
      </c>
      <c r="F27" t="s">
        <v>70</v>
      </c>
      <c r="H27">
        <f t="shared" si="1"/>
        <v>7.5</v>
      </c>
      <c r="L27" s="39">
        <f t="shared" si="0"/>
        <v>7.5</v>
      </c>
    </row>
    <row r="28" spans="1:13" x14ac:dyDescent="0.25">
      <c r="A28" t="s">
        <v>72</v>
      </c>
      <c r="B28" s="40" t="s">
        <v>118</v>
      </c>
      <c r="C28" s="37">
        <f>'RAC BR'!C28</f>
        <v>1.8</v>
      </c>
      <c r="D28" t="s">
        <v>69</v>
      </c>
      <c r="E28" s="37">
        <f>'COO BR'!E28</f>
        <v>20</v>
      </c>
      <c r="F28" t="s">
        <v>70</v>
      </c>
      <c r="H28">
        <f t="shared" si="1"/>
        <v>36</v>
      </c>
      <c r="L28" s="39">
        <f t="shared" si="0"/>
        <v>36</v>
      </c>
    </row>
    <row r="29" spans="1:13" x14ac:dyDescent="0.25">
      <c r="A29" t="s">
        <v>73</v>
      </c>
      <c r="B29" s="40" t="s">
        <v>134</v>
      </c>
      <c r="C29" s="37">
        <f>'RAC BR'!C29</f>
        <v>1</v>
      </c>
      <c r="D29" t="s">
        <v>69</v>
      </c>
      <c r="E29" s="37">
        <f>'COO BR'!E29</f>
        <v>11</v>
      </c>
      <c r="F29" t="s">
        <v>70</v>
      </c>
      <c r="H29">
        <f t="shared" si="1"/>
        <v>11</v>
      </c>
      <c r="L29" s="39">
        <f t="shared" si="0"/>
        <v>11</v>
      </c>
    </row>
    <row r="30" spans="1:13" x14ac:dyDescent="0.25">
      <c r="A30" t="s">
        <v>74</v>
      </c>
      <c r="B30" s="40" t="s">
        <v>117</v>
      </c>
      <c r="C30" s="37">
        <f>'RAC BR'!C30</f>
        <v>7.4999999999999997E-2</v>
      </c>
      <c r="D30" t="s">
        <v>69</v>
      </c>
      <c r="E30" s="37">
        <f>'COO BR'!E30</f>
        <v>20</v>
      </c>
      <c r="F30" t="s">
        <v>70</v>
      </c>
      <c r="H30">
        <f t="shared" si="1"/>
        <v>1.5</v>
      </c>
      <c r="L30" s="39">
        <f t="shared" si="0"/>
        <v>1.5</v>
      </c>
    </row>
    <row r="31" spans="1:13" x14ac:dyDescent="0.25">
      <c r="A31" t="s">
        <v>96</v>
      </c>
      <c r="B31" t="s">
        <v>97</v>
      </c>
      <c r="C31" s="37">
        <f>'RAC BR'!C31</f>
        <v>0</v>
      </c>
      <c r="D31" t="s">
        <v>69</v>
      </c>
      <c r="E31" s="37">
        <f>'COO BR'!E31</f>
        <v>16</v>
      </c>
      <c r="F31" t="s">
        <v>70</v>
      </c>
      <c r="H31">
        <f t="shared" si="1"/>
        <v>0</v>
      </c>
      <c r="L31" s="39">
        <f t="shared" si="0"/>
        <v>0</v>
      </c>
    </row>
    <row r="32" spans="1:13" x14ac:dyDescent="0.25">
      <c r="A32" t="s">
        <v>75</v>
      </c>
      <c r="C32" s="41">
        <f>[1]INPUT!I31</f>
        <v>0.01</v>
      </c>
      <c r="E32" s="37"/>
      <c r="H32" s="42">
        <f>C32*H4</f>
        <v>29.2</v>
      </c>
      <c r="L32" s="39">
        <f t="shared" si="0"/>
        <v>29.2</v>
      </c>
    </row>
    <row r="33" spans="1:12" x14ac:dyDescent="0.25">
      <c r="A33" t="s">
        <v>76</v>
      </c>
      <c r="C33" s="43">
        <f>C13</f>
        <v>7.3</v>
      </c>
      <c r="D33" t="s">
        <v>77</v>
      </c>
      <c r="E33" s="37">
        <v>0</v>
      </c>
      <c r="F33" t="s">
        <v>65</v>
      </c>
      <c r="H33" s="39">
        <f>E33*C33</f>
        <v>0</v>
      </c>
      <c r="L33" s="39">
        <f t="shared" si="0"/>
        <v>0</v>
      </c>
    </row>
    <row r="34" spans="1:12" x14ac:dyDescent="0.25">
      <c r="A34" t="s">
        <v>78</v>
      </c>
      <c r="C34" s="37">
        <f>[1]INPUT!D33</f>
        <v>9</v>
      </c>
      <c r="D34" t="s">
        <v>69</v>
      </c>
      <c r="E34" s="37">
        <f>'COO BR'!E34</f>
        <v>1.5</v>
      </c>
      <c r="F34" t="s">
        <v>70</v>
      </c>
      <c r="H34">
        <f>E34*C34</f>
        <v>13.5</v>
      </c>
      <c r="L34" s="39">
        <f t="shared" si="0"/>
        <v>13.5</v>
      </c>
    </row>
    <row r="35" spans="1:12" x14ac:dyDescent="0.25">
      <c r="C35" s="44"/>
      <c r="E35" s="45"/>
      <c r="L35" s="39"/>
    </row>
    <row r="36" spans="1:12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8" spans="1:12" x14ac:dyDescent="0.25">
      <c r="F38" s="46" t="s">
        <v>79</v>
      </c>
      <c r="H38" s="47">
        <f>SUM(H22:H36)</f>
        <v>510.57400000000001</v>
      </c>
      <c r="K38" s="46" t="s">
        <v>80</v>
      </c>
      <c r="L38" s="39">
        <f>SUM(L22:L37)</f>
        <v>510.57400000000001</v>
      </c>
    </row>
    <row r="39" spans="1:12" x14ac:dyDescent="0.25">
      <c r="H39" s="47"/>
      <c r="K39" s="46"/>
      <c r="L39" s="39"/>
    </row>
    <row r="40" spans="1:12" x14ac:dyDescent="0.25">
      <c r="H40" s="47"/>
      <c r="K40" s="46" t="s">
        <v>81</v>
      </c>
      <c r="L40" s="39">
        <f>L13-L38</f>
        <v>2175.826</v>
      </c>
    </row>
    <row r="41" spans="1:12" x14ac:dyDescent="0.25">
      <c r="H41" s="47"/>
      <c r="K41" s="46" t="s">
        <v>82</v>
      </c>
      <c r="L41" s="39">
        <f>L6*E17</f>
        <v>0</v>
      </c>
    </row>
    <row r="42" spans="1:12" x14ac:dyDescent="0.25">
      <c r="H42" s="47"/>
      <c r="K42" s="46"/>
      <c r="L42" s="39"/>
    </row>
    <row r="43" spans="1:12" x14ac:dyDescent="0.25">
      <c r="F43" s="46" t="s">
        <v>83</v>
      </c>
      <c r="H43" s="47">
        <f>H17-H38</f>
        <v>2175.826</v>
      </c>
      <c r="K43" s="46" t="s">
        <v>84</v>
      </c>
      <c r="L43" s="39">
        <f>L40+L41</f>
        <v>2175.826</v>
      </c>
    </row>
    <row r="44" spans="1:12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6" spans="1:12" x14ac:dyDescent="0.25">
      <c r="A46" s="33" t="s">
        <v>85</v>
      </c>
      <c r="C46" s="47">
        <f>H38/E4</f>
        <v>1.276435</v>
      </c>
    </row>
    <row r="47" spans="1:12" x14ac:dyDescent="0.25">
      <c r="C47" s="47"/>
    </row>
    <row r="48" spans="1:12" x14ac:dyDescent="0.25">
      <c r="A48" s="33" t="s">
        <v>86</v>
      </c>
      <c r="C48" s="47">
        <f>H38/C4</f>
        <v>69.941643835616446</v>
      </c>
    </row>
    <row r="49" spans="1:12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1" spans="1:12" x14ac:dyDescent="0.25">
      <c r="A51" s="33" t="s">
        <v>87</v>
      </c>
      <c r="E51" s="35" t="s">
        <v>88</v>
      </c>
      <c r="F51" s="50">
        <f>H38</f>
        <v>510.57400000000001</v>
      </c>
      <c r="G51" t="s">
        <v>89</v>
      </c>
    </row>
    <row r="53" spans="1:12" x14ac:dyDescent="0.25">
      <c r="A53" t="s">
        <v>101</v>
      </c>
      <c r="C53" s="37"/>
    </row>
    <row r="54" spans="1:12" x14ac:dyDescent="0.25">
      <c r="A54" t="s">
        <v>106</v>
      </c>
      <c r="C54" s="37"/>
    </row>
    <row r="55" spans="1:12" x14ac:dyDescent="0.25">
      <c r="E55" s="34" t="s">
        <v>91</v>
      </c>
    </row>
    <row r="56" spans="1:12" x14ac:dyDescent="0.25">
      <c r="C56" s="46" t="s">
        <v>90</v>
      </c>
      <c r="D56" s="33">
        <f>MIN(QUALITY!$O$16:$O$19)</f>
        <v>400</v>
      </c>
      <c r="E56" s="33">
        <f>AVERAGE(QUALITY!$O$16:$O$19)</f>
        <v>400</v>
      </c>
      <c r="F56" s="33">
        <f>MAX(QUALITY!$O$16:$O$19)</f>
        <v>400</v>
      </c>
    </row>
    <row r="57" spans="1:12" x14ac:dyDescent="0.25">
      <c r="A57" s="33" t="s">
        <v>92</v>
      </c>
      <c r="C57" s="33">
        <f>MAX(QUALITY!$H$16:$H$19)</f>
        <v>7.3</v>
      </c>
      <c r="D57" s="39">
        <f>C57*(D56-$E$15)-$H$38</f>
        <v>2175.826</v>
      </c>
      <c r="E57" s="39">
        <f>C57*(E56-$E$15)-$H$38</f>
        <v>2175.826</v>
      </c>
      <c r="F57" s="39">
        <f>C57*(F56-$E$15)-$H$38</f>
        <v>2175.826</v>
      </c>
    </row>
    <row r="58" spans="1:12" x14ac:dyDescent="0.25">
      <c r="A58" s="33" t="s">
        <v>93</v>
      </c>
      <c r="C58" s="52">
        <f>AVERAGE(QUALITY!$H$16:$H$19)</f>
        <v>6.875</v>
      </c>
      <c r="D58" s="39">
        <f>C58*(D56-$E$15)-$H$38</f>
        <v>2019.4259999999999</v>
      </c>
      <c r="E58" s="39">
        <f>C58*(E56-$E$15)-$H$38</f>
        <v>2019.4259999999999</v>
      </c>
      <c r="F58" s="39">
        <f>C58*(F56-$E$15)-$H$38</f>
        <v>2019.4259999999999</v>
      </c>
    </row>
    <row r="59" spans="1:12" x14ac:dyDescent="0.25">
      <c r="A59" s="33" t="s">
        <v>94</v>
      </c>
      <c r="C59" s="33">
        <f>MIN(QUALITY!$H$16:$H$19)</f>
        <v>6</v>
      </c>
      <c r="D59" s="39">
        <f>C59*(D56-$E$15)-$H$38</f>
        <v>1697.4259999999999</v>
      </c>
      <c r="E59" s="39">
        <f>C59*(E56-$E$15)-$H$38</f>
        <v>1697.4259999999999</v>
      </c>
      <c r="F59" s="39">
        <f>C59*(F56-$E$15)-$H$38</f>
        <v>1697.4259999999999</v>
      </c>
    </row>
    <row r="60" spans="1:12" x14ac:dyDescent="0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workbookViewId="0"/>
  </sheetViews>
  <sheetFormatPr defaultRowHeight="15" x14ac:dyDescent="0.25"/>
  <cols>
    <col min="1" max="1" width="12.42578125" customWidth="1"/>
    <col min="2" max="2" width="9" customWidth="1"/>
    <col min="257" max="257" width="12.42578125" customWidth="1"/>
    <col min="258" max="258" width="9" customWidth="1"/>
    <col min="513" max="513" width="12.42578125" customWidth="1"/>
    <col min="514" max="514" width="9" customWidth="1"/>
    <col min="769" max="769" width="12.42578125" customWidth="1"/>
    <col min="770" max="770" width="9" customWidth="1"/>
    <col min="1025" max="1025" width="12.42578125" customWidth="1"/>
    <col min="1026" max="1026" width="9" customWidth="1"/>
    <col min="1281" max="1281" width="12.42578125" customWidth="1"/>
    <col min="1282" max="1282" width="9" customWidth="1"/>
    <col min="1537" max="1537" width="12.42578125" customWidth="1"/>
    <col min="1538" max="1538" width="9" customWidth="1"/>
    <col min="1793" max="1793" width="12.42578125" customWidth="1"/>
    <col min="1794" max="1794" width="9" customWidth="1"/>
    <col min="2049" max="2049" width="12.42578125" customWidth="1"/>
    <col min="2050" max="2050" width="9" customWidth="1"/>
    <col min="2305" max="2305" width="12.42578125" customWidth="1"/>
    <col min="2306" max="2306" width="9" customWidth="1"/>
    <col min="2561" max="2561" width="12.42578125" customWidth="1"/>
    <col min="2562" max="2562" width="9" customWidth="1"/>
    <col min="2817" max="2817" width="12.42578125" customWidth="1"/>
    <col min="2818" max="2818" width="9" customWidth="1"/>
    <col min="3073" max="3073" width="12.42578125" customWidth="1"/>
    <col min="3074" max="3074" width="9" customWidth="1"/>
    <col min="3329" max="3329" width="12.42578125" customWidth="1"/>
    <col min="3330" max="3330" width="9" customWidth="1"/>
    <col min="3585" max="3585" width="12.42578125" customWidth="1"/>
    <col min="3586" max="3586" width="9" customWidth="1"/>
    <col min="3841" max="3841" width="12.42578125" customWidth="1"/>
    <col min="3842" max="3842" width="9" customWidth="1"/>
    <col min="4097" max="4097" width="12.42578125" customWidth="1"/>
    <col min="4098" max="4098" width="9" customWidth="1"/>
    <col min="4353" max="4353" width="12.42578125" customWidth="1"/>
    <col min="4354" max="4354" width="9" customWidth="1"/>
    <col min="4609" max="4609" width="12.42578125" customWidth="1"/>
    <col min="4610" max="4610" width="9" customWidth="1"/>
    <col min="4865" max="4865" width="12.42578125" customWidth="1"/>
    <col min="4866" max="4866" width="9" customWidth="1"/>
    <col min="5121" max="5121" width="12.42578125" customWidth="1"/>
    <col min="5122" max="5122" width="9" customWidth="1"/>
    <col min="5377" max="5377" width="12.42578125" customWidth="1"/>
    <col min="5378" max="5378" width="9" customWidth="1"/>
    <col min="5633" max="5633" width="12.42578125" customWidth="1"/>
    <col min="5634" max="5634" width="9" customWidth="1"/>
    <col min="5889" max="5889" width="12.42578125" customWidth="1"/>
    <col min="5890" max="5890" width="9" customWidth="1"/>
    <col min="6145" max="6145" width="12.42578125" customWidth="1"/>
    <col min="6146" max="6146" width="9" customWidth="1"/>
    <col min="6401" max="6401" width="12.42578125" customWidth="1"/>
    <col min="6402" max="6402" width="9" customWidth="1"/>
    <col min="6657" max="6657" width="12.42578125" customWidth="1"/>
    <col min="6658" max="6658" width="9" customWidth="1"/>
    <col min="6913" max="6913" width="12.42578125" customWidth="1"/>
    <col min="6914" max="6914" width="9" customWidth="1"/>
    <col min="7169" max="7169" width="12.42578125" customWidth="1"/>
    <col min="7170" max="7170" width="9" customWidth="1"/>
    <col min="7425" max="7425" width="12.42578125" customWidth="1"/>
    <col min="7426" max="7426" width="9" customWidth="1"/>
    <col min="7681" max="7681" width="12.42578125" customWidth="1"/>
    <col min="7682" max="7682" width="9" customWidth="1"/>
    <col min="7937" max="7937" width="12.42578125" customWidth="1"/>
    <col min="7938" max="7938" width="9" customWidth="1"/>
    <col min="8193" max="8193" width="12.42578125" customWidth="1"/>
    <col min="8194" max="8194" width="9" customWidth="1"/>
    <col min="8449" max="8449" width="12.42578125" customWidth="1"/>
    <col min="8450" max="8450" width="9" customWidth="1"/>
    <col min="8705" max="8705" width="12.42578125" customWidth="1"/>
    <col min="8706" max="8706" width="9" customWidth="1"/>
    <col min="8961" max="8961" width="12.42578125" customWidth="1"/>
    <col min="8962" max="8962" width="9" customWidth="1"/>
    <col min="9217" max="9217" width="12.42578125" customWidth="1"/>
    <col min="9218" max="9218" width="9" customWidth="1"/>
    <col min="9473" max="9473" width="12.42578125" customWidth="1"/>
    <col min="9474" max="9474" width="9" customWidth="1"/>
    <col min="9729" max="9729" width="12.42578125" customWidth="1"/>
    <col min="9730" max="9730" width="9" customWidth="1"/>
    <col min="9985" max="9985" width="12.42578125" customWidth="1"/>
    <col min="9986" max="9986" width="9" customWidth="1"/>
    <col min="10241" max="10241" width="12.42578125" customWidth="1"/>
    <col min="10242" max="10242" width="9" customWidth="1"/>
    <col min="10497" max="10497" width="12.42578125" customWidth="1"/>
    <col min="10498" max="10498" width="9" customWidth="1"/>
    <col min="10753" max="10753" width="12.42578125" customWidth="1"/>
    <col min="10754" max="10754" width="9" customWidth="1"/>
    <col min="11009" max="11009" width="12.42578125" customWidth="1"/>
    <col min="11010" max="11010" width="9" customWidth="1"/>
    <col min="11265" max="11265" width="12.42578125" customWidth="1"/>
    <col min="11266" max="11266" width="9" customWidth="1"/>
    <col min="11521" max="11521" width="12.42578125" customWidth="1"/>
    <col min="11522" max="11522" width="9" customWidth="1"/>
    <col min="11777" max="11777" width="12.42578125" customWidth="1"/>
    <col min="11778" max="11778" width="9" customWidth="1"/>
    <col min="12033" max="12033" width="12.42578125" customWidth="1"/>
    <col min="12034" max="12034" width="9" customWidth="1"/>
    <col min="12289" max="12289" width="12.42578125" customWidth="1"/>
    <col min="12290" max="12290" width="9" customWidth="1"/>
    <col min="12545" max="12545" width="12.42578125" customWidth="1"/>
    <col min="12546" max="12546" width="9" customWidth="1"/>
    <col min="12801" max="12801" width="12.42578125" customWidth="1"/>
    <col min="12802" max="12802" width="9" customWidth="1"/>
    <col min="13057" max="13057" width="12.42578125" customWidth="1"/>
    <col min="13058" max="13058" width="9" customWidth="1"/>
    <col min="13313" max="13313" width="12.42578125" customWidth="1"/>
    <col min="13314" max="13314" width="9" customWidth="1"/>
    <col min="13569" max="13569" width="12.42578125" customWidth="1"/>
    <col min="13570" max="13570" width="9" customWidth="1"/>
    <col min="13825" max="13825" width="12.42578125" customWidth="1"/>
    <col min="13826" max="13826" width="9" customWidth="1"/>
    <col min="14081" max="14081" width="12.42578125" customWidth="1"/>
    <col min="14082" max="14082" width="9" customWidth="1"/>
    <col min="14337" max="14337" width="12.42578125" customWidth="1"/>
    <col min="14338" max="14338" width="9" customWidth="1"/>
    <col min="14593" max="14593" width="12.42578125" customWidth="1"/>
    <col min="14594" max="14594" width="9" customWidth="1"/>
    <col min="14849" max="14849" width="12.42578125" customWidth="1"/>
    <col min="14850" max="14850" width="9" customWidth="1"/>
    <col min="15105" max="15105" width="12.42578125" customWidth="1"/>
    <col min="15106" max="15106" width="9" customWidth="1"/>
    <col min="15361" max="15361" width="12.42578125" customWidth="1"/>
    <col min="15362" max="15362" width="9" customWidth="1"/>
    <col min="15617" max="15617" width="12.42578125" customWidth="1"/>
    <col min="15618" max="15618" width="9" customWidth="1"/>
    <col min="15873" max="15873" width="12.42578125" customWidth="1"/>
    <col min="15874" max="15874" width="9" customWidth="1"/>
    <col min="16129" max="16129" width="12.42578125" customWidth="1"/>
    <col min="16130" max="16130" width="9" customWidth="1"/>
  </cols>
  <sheetData>
    <row r="1" spans="1:13" ht="18" x14ac:dyDescent="0.25">
      <c r="A1" s="29" t="s">
        <v>138</v>
      </c>
      <c r="B1" s="29"/>
      <c r="C1" s="30"/>
      <c r="D1" s="29"/>
      <c r="F1" s="29"/>
      <c r="G1" s="29">
        <f>RESULTS!I1</f>
        <v>2016</v>
      </c>
      <c r="H1" s="15"/>
      <c r="I1" s="29" t="s">
        <v>38</v>
      </c>
      <c r="J1" s="15"/>
      <c r="K1" s="15"/>
      <c r="L1" s="31">
        <v>1</v>
      </c>
    </row>
    <row r="2" spans="1:13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32"/>
    </row>
    <row r="3" spans="1:13" x14ac:dyDescent="0.25">
      <c r="A3" s="33" t="s">
        <v>39</v>
      </c>
      <c r="C3" s="34" t="s">
        <v>40</v>
      </c>
      <c r="D3" s="34"/>
      <c r="E3" s="34" t="s">
        <v>41</v>
      </c>
      <c r="F3" s="34"/>
      <c r="H3" s="34" t="s">
        <v>42</v>
      </c>
      <c r="K3" s="35" t="s">
        <v>43</v>
      </c>
      <c r="L3">
        <f>C4*L1</f>
        <v>6.1</v>
      </c>
    </row>
    <row r="4" spans="1:13" x14ac:dyDescent="0.25">
      <c r="C4" s="36">
        <f>QUALITY!H23</f>
        <v>6.1</v>
      </c>
      <c r="D4" s="37"/>
      <c r="E4" s="37">
        <f>QUALITY!O23</f>
        <v>227</v>
      </c>
      <c r="F4" s="37"/>
      <c r="H4" s="37">
        <f>E4*C4</f>
        <v>1384.6999999999998</v>
      </c>
      <c r="K4" s="35" t="s">
        <v>44</v>
      </c>
      <c r="L4">
        <f>L3-L6</f>
        <v>6.1</v>
      </c>
    </row>
    <row r="5" spans="1:13" x14ac:dyDescent="0.25">
      <c r="K5" s="35"/>
    </row>
    <row r="6" spans="1:13" x14ac:dyDescent="0.25">
      <c r="K6" s="35" t="s">
        <v>45</v>
      </c>
      <c r="L6" s="37">
        <v>0</v>
      </c>
    </row>
    <row r="7" spans="1:13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3" x14ac:dyDescent="0.25">
      <c r="A8" s="33" t="s">
        <v>46</v>
      </c>
    </row>
    <row r="10" spans="1:13" x14ac:dyDescent="0.25">
      <c r="A10" t="s">
        <v>125</v>
      </c>
      <c r="C10">
        <f>C4</f>
        <v>6.1</v>
      </c>
      <c r="E10" s="37">
        <f>QUALITY!P23</f>
        <v>19.45</v>
      </c>
      <c r="H10">
        <f>E10*C10</f>
        <v>118.64499999999998</v>
      </c>
      <c r="K10" s="35" t="s">
        <v>47</v>
      </c>
      <c r="L10">
        <f>L4*E4</f>
        <v>1384.6999999999998</v>
      </c>
    </row>
    <row r="11" spans="1:13" x14ac:dyDescent="0.25">
      <c r="A11" t="s">
        <v>126</v>
      </c>
      <c r="C11">
        <f>C4</f>
        <v>6.1</v>
      </c>
      <c r="E11" s="37">
        <v>0</v>
      </c>
      <c r="H11">
        <f>E11*C11</f>
        <v>0</v>
      </c>
      <c r="K11" s="35" t="s">
        <v>48</v>
      </c>
      <c r="L11">
        <f>L4*E15</f>
        <v>118.64499999999998</v>
      </c>
    </row>
    <row r="12" spans="1:13" x14ac:dyDescent="0.25">
      <c r="A12" t="s">
        <v>139</v>
      </c>
      <c r="C12">
        <f>C4</f>
        <v>6.1</v>
      </c>
      <c r="E12" s="37">
        <v>0</v>
      </c>
      <c r="H12">
        <f>E12*C12</f>
        <v>0</v>
      </c>
      <c r="K12" s="35"/>
    </row>
    <row r="13" spans="1:13" x14ac:dyDescent="0.25">
      <c r="A13">
        <v>4</v>
      </c>
      <c r="C13">
        <f>C4</f>
        <v>6.1</v>
      </c>
      <c r="E13" s="37">
        <v>0</v>
      </c>
      <c r="H13">
        <f>E13*C13</f>
        <v>0</v>
      </c>
      <c r="K13" s="35" t="s">
        <v>49</v>
      </c>
      <c r="L13">
        <f>L10-L11</f>
        <v>1266.0549999999998</v>
      </c>
    </row>
    <row r="14" spans="1:13" x14ac:dyDescent="0.25">
      <c r="K14" s="35"/>
    </row>
    <row r="15" spans="1:13" x14ac:dyDescent="0.25">
      <c r="C15" s="33" t="s">
        <v>50</v>
      </c>
      <c r="E15">
        <f>SUM(E10:E13)</f>
        <v>19.45</v>
      </c>
      <c r="H15">
        <f>SUM(H10:H13)</f>
        <v>118.64499999999998</v>
      </c>
      <c r="K15" s="35" t="s">
        <v>51</v>
      </c>
      <c r="L15">
        <f>L13*M15</f>
        <v>1266.0549999999998</v>
      </c>
      <c r="M15" s="38">
        <v>1</v>
      </c>
    </row>
    <row r="16" spans="1:13" x14ac:dyDescent="0.25">
      <c r="K16" s="35" t="s">
        <v>52</v>
      </c>
      <c r="L16">
        <f>L13*M16</f>
        <v>0</v>
      </c>
      <c r="M16" s="38">
        <v>0</v>
      </c>
    </row>
    <row r="17" spans="1:13" x14ac:dyDescent="0.25">
      <c r="C17" s="33" t="s">
        <v>53</v>
      </c>
      <c r="E17">
        <f>E4-E15</f>
        <v>207.55</v>
      </c>
      <c r="H17">
        <f>H4-H15</f>
        <v>1266.0549999999998</v>
      </c>
      <c r="K17" s="35" t="s">
        <v>54</v>
      </c>
      <c r="L17">
        <f>L13*M17</f>
        <v>0</v>
      </c>
      <c r="M17" s="38">
        <v>0</v>
      </c>
    </row>
    <row r="18" spans="1:13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20" spans="1:13" x14ac:dyDescent="0.25">
      <c r="A20" s="33" t="s">
        <v>55</v>
      </c>
      <c r="C20" s="34" t="s">
        <v>56</v>
      </c>
      <c r="D20" s="34" t="s">
        <v>57</v>
      </c>
      <c r="E20" s="34" t="s">
        <v>58</v>
      </c>
      <c r="F20" s="34" t="s">
        <v>57</v>
      </c>
      <c r="G20" s="34"/>
      <c r="H20" s="34" t="s">
        <v>59</v>
      </c>
    </row>
    <row r="22" spans="1:13" x14ac:dyDescent="0.25">
      <c r="A22" t="s">
        <v>60</v>
      </c>
      <c r="C22" s="37">
        <v>68</v>
      </c>
      <c r="D22" t="s">
        <v>61</v>
      </c>
      <c r="E22" s="37">
        <f>E4/1000</f>
        <v>0.22700000000000001</v>
      </c>
      <c r="F22" t="s">
        <v>62</v>
      </c>
      <c r="H22">
        <f>C22*E22</f>
        <v>15.436</v>
      </c>
      <c r="I22" s="48"/>
      <c r="L22" s="39">
        <f>H22*$L$1</f>
        <v>15.436</v>
      </c>
    </row>
    <row r="23" spans="1:13" x14ac:dyDescent="0.25">
      <c r="A23" t="s">
        <v>63</v>
      </c>
      <c r="C23" s="37">
        <f>'COO BR'!C23</f>
        <v>70</v>
      </c>
      <c r="D23" t="s">
        <v>95</v>
      </c>
      <c r="E23" s="37">
        <f>'COO BR'!E23</f>
        <v>50</v>
      </c>
      <c r="F23" t="s">
        <v>70</v>
      </c>
      <c r="H23">
        <f>E23*C23/1000</f>
        <v>3.5</v>
      </c>
      <c r="L23" s="39">
        <f t="shared" ref="L23:L34" si="0">H23*$L$1</f>
        <v>3.5</v>
      </c>
    </row>
    <row r="24" spans="1:13" x14ac:dyDescent="0.25">
      <c r="A24" t="s">
        <v>64</v>
      </c>
      <c r="B24" s="37" t="str">
        <f>'COO BR'!B24</f>
        <v>DAP</v>
      </c>
      <c r="C24" s="37">
        <f>'COO BR'!C24</f>
        <v>100</v>
      </c>
      <c r="D24" t="s">
        <v>61</v>
      </c>
      <c r="E24" s="37">
        <f>'COO BR'!E24</f>
        <v>998</v>
      </c>
      <c r="F24" t="s">
        <v>65</v>
      </c>
      <c r="H24">
        <f>C24*E24/1000</f>
        <v>99.8</v>
      </c>
      <c r="L24" s="39">
        <f t="shared" si="0"/>
        <v>99.8</v>
      </c>
    </row>
    <row r="25" spans="1:13" x14ac:dyDescent="0.25">
      <c r="A25" t="s">
        <v>66</v>
      </c>
      <c r="B25" s="37" t="str">
        <f>'COO BR'!B25</f>
        <v>UAN</v>
      </c>
      <c r="C25" s="37">
        <f>'COO BR'!C25</f>
        <v>0</v>
      </c>
      <c r="D25" t="s">
        <v>69</v>
      </c>
      <c r="E25" s="37">
        <f>'COO BR'!E25</f>
        <v>750</v>
      </c>
      <c r="F25" t="s">
        <v>133</v>
      </c>
      <c r="H25">
        <f>C25*E25/1000</f>
        <v>0</v>
      </c>
      <c r="L25" s="39">
        <f>H25*L1</f>
        <v>0</v>
      </c>
    </row>
    <row r="26" spans="1:13" x14ac:dyDescent="0.25">
      <c r="A26" t="s">
        <v>68</v>
      </c>
      <c r="B26" s="37" t="str">
        <f>'COO BR'!B26</f>
        <v>Ultramax</v>
      </c>
      <c r="C26" s="37">
        <f>'COO BR'!C26</f>
        <v>2</v>
      </c>
      <c r="D26" t="s">
        <v>69</v>
      </c>
      <c r="E26" s="37">
        <f>'COO BR'!E26</f>
        <v>8</v>
      </c>
      <c r="F26" t="s">
        <v>70</v>
      </c>
      <c r="H26">
        <f>E26*C26</f>
        <v>16</v>
      </c>
      <c r="L26" s="39">
        <f t="shared" si="0"/>
        <v>16</v>
      </c>
    </row>
    <row r="27" spans="1:13" x14ac:dyDescent="0.25">
      <c r="A27" t="s">
        <v>71</v>
      </c>
      <c r="B27" s="37" t="str">
        <f>'COO BR'!B27</f>
        <v>Striker</v>
      </c>
      <c r="C27" s="37">
        <f>'COO BR'!C27</f>
        <v>0.15</v>
      </c>
      <c r="D27" t="s">
        <v>69</v>
      </c>
      <c r="E27" s="37">
        <f>'COO BR'!E27</f>
        <v>50</v>
      </c>
      <c r="F27" t="s">
        <v>70</v>
      </c>
      <c r="H27">
        <f>E27*C27</f>
        <v>7.5</v>
      </c>
      <c r="L27" s="39">
        <f t="shared" si="0"/>
        <v>7.5</v>
      </c>
    </row>
    <row r="28" spans="1:13" x14ac:dyDescent="0.25">
      <c r="A28" t="s">
        <v>72</v>
      </c>
      <c r="B28" s="37" t="str">
        <f>'COO BR'!B28</f>
        <v>Jedi Duo</v>
      </c>
      <c r="C28" s="37">
        <f>'COO BR'!C28</f>
        <v>1.8</v>
      </c>
      <c r="D28" t="s">
        <v>69</v>
      </c>
      <c r="E28" s="37">
        <f>'COO BR'!E28</f>
        <v>20</v>
      </c>
      <c r="F28" t="s">
        <v>70</v>
      </c>
      <c r="H28">
        <f>E28*C28</f>
        <v>36</v>
      </c>
      <c r="L28" s="39">
        <f t="shared" si="0"/>
        <v>36</v>
      </c>
    </row>
    <row r="29" spans="1:13" x14ac:dyDescent="0.25">
      <c r="A29" t="s">
        <v>73</v>
      </c>
      <c r="B29" s="37" t="str">
        <f>'COO BR'!B29</f>
        <v>MCPA</v>
      </c>
      <c r="C29" s="37">
        <f>'COO BR'!C29</f>
        <v>0.5</v>
      </c>
      <c r="D29" t="s">
        <v>69</v>
      </c>
      <c r="E29" s="37">
        <f>'COO BR'!E29</f>
        <v>11</v>
      </c>
      <c r="F29" t="s">
        <v>70</v>
      </c>
      <c r="H29">
        <f>E29*C29</f>
        <v>5.5</v>
      </c>
      <c r="L29" s="39">
        <f t="shared" si="0"/>
        <v>5.5</v>
      </c>
    </row>
    <row r="30" spans="1:13" x14ac:dyDescent="0.25">
      <c r="A30" t="s">
        <v>74</v>
      </c>
      <c r="B30" s="37" t="str">
        <f>'COO BR'!B30</f>
        <v>Lontrel</v>
      </c>
      <c r="C30" s="37">
        <f>'COO BR'!C30</f>
        <v>0.125</v>
      </c>
      <c r="D30" t="s">
        <v>69</v>
      </c>
      <c r="E30" s="37">
        <f>'COO BR'!E30</f>
        <v>20</v>
      </c>
      <c r="F30" t="s">
        <v>70</v>
      </c>
      <c r="H30">
        <f t="shared" ref="H30:H31" si="1">E30*C30</f>
        <v>2.5</v>
      </c>
      <c r="L30" s="39">
        <f t="shared" si="0"/>
        <v>2.5</v>
      </c>
    </row>
    <row r="31" spans="1:13" x14ac:dyDescent="0.25">
      <c r="A31" t="s">
        <v>96</v>
      </c>
      <c r="B31" s="37" t="str">
        <f>'COO BR'!B31</f>
        <v>Tilt</v>
      </c>
      <c r="C31" s="37">
        <v>0.5</v>
      </c>
      <c r="D31" t="s">
        <v>69</v>
      </c>
      <c r="E31" s="37">
        <f>'COO BR'!E31</f>
        <v>16</v>
      </c>
      <c r="F31" t="s">
        <v>70</v>
      </c>
      <c r="H31">
        <f t="shared" si="1"/>
        <v>8</v>
      </c>
      <c r="L31" s="39">
        <f t="shared" si="0"/>
        <v>8</v>
      </c>
    </row>
    <row r="32" spans="1:13" x14ac:dyDescent="0.25">
      <c r="A32" t="s">
        <v>75</v>
      </c>
      <c r="C32" s="41">
        <v>0.01</v>
      </c>
      <c r="E32" s="37"/>
      <c r="H32" s="42">
        <f>C32*H4</f>
        <v>13.846999999999998</v>
      </c>
      <c r="L32" s="39">
        <f t="shared" si="0"/>
        <v>13.846999999999998</v>
      </c>
    </row>
    <row r="33" spans="1:12" x14ac:dyDescent="0.25">
      <c r="A33" t="s">
        <v>76</v>
      </c>
      <c r="C33" s="43">
        <f>C13</f>
        <v>6.1</v>
      </c>
      <c r="D33" t="s">
        <v>77</v>
      </c>
      <c r="E33" s="37">
        <f>'COO BR'!E33</f>
        <v>0</v>
      </c>
      <c r="F33" t="s">
        <v>65</v>
      </c>
      <c r="H33" s="39">
        <f>E33*C33</f>
        <v>0</v>
      </c>
      <c r="L33" s="39">
        <f t="shared" si="0"/>
        <v>0</v>
      </c>
    </row>
    <row r="34" spans="1:12" x14ac:dyDescent="0.25">
      <c r="A34" t="s">
        <v>78</v>
      </c>
      <c r="C34" s="37">
        <f>'COO BR'!C34</f>
        <v>9</v>
      </c>
      <c r="D34" t="s">
        <v>69</v>
      </c>
      <c r="E34" s="37">
        <f>'COO BR'!E34</f>
        <v>1.5</v>
      </c>
      <c r="F34" t="s">
        <v>70</v>
      </c>
      <c r="H34">
        <f>E34*C34</f>
        <v>13.5</v>
      </c>
      <c r="L34" s="39">
        <f t="shared" si="0"/>
        <v>13.5</v>
      </c>
    </row>
    <row r="35" spans="1:12" x14ac:dyDescent="0.25">
      <c r="C35" s="44"/>
      <c r="E35" s="45"/>
      <c r="L35" s="39"/>
    </row>
    <row r="36" spans="1:12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8" spans="1:12" x14ac:dyDescent="0.25">
      <c r="F38" s="46" t="s">
        <v>79</v>
      </c>
      <c r="H38" s="39">
        <f>SUM(H22:H36)</f>
        <v>221.583</v>
      </c>
      <c r="K38" s="46" t="s">
        <v>80</v>
      </c>
      <c r="L38" s="39">
        <f>SUM(L22:L37)</f>
        <v>221.583</v>
      </c>
    </row>
    <row r="39" spans="1:12" x14ac:dyDescent="0.25">
      <c r="H39" s="39"/>
      <c r="K39" s="46"/>
      <c r="L39" s="39"/>
    </row>
    <row r="40" spans="1:12" x14ac:dyDescent="0.25">
      <c r="H40" s="39"/>
      <c r="K40" s="46" t="s">
        <v>81</v>
      </c>
      <c r="L40" s="39">
        <f>L13-L38</f>
        <v>1044.4719999999998</v>
      </c>
    </row>
    <row r="41" spans="1:12" x14ac:dyDescent="0.25">
      <c r="H41" s="39"/>
      <c r="K41" s="46" t="s">
        <v>82</v>
      </c>
      <c r="L41" s="39">
        <f>L6*E17</f>
        <v>0</v>
      </c>
    </row>
    <row r="42" spans="1:12" x14ac:dyDescent="0.25">
      <c r="H42" s="39"/>
      <c r="K42" s="46"/>
      <c r="L42" s="39"/>
    </row>
    <row r="43" spans="1:12" x14ac:dyDescent="0.25">
      <c r="F43" s="46" t="s">
        <v>83</v>
      </c>
      <c r="H43" s="39">
        <f>H17-H38</f>
        <v>1044.4719999999998</v>
      </c>
      <c r="K43" s="46" t="s">
        <v>84</v>
      </c>
      <c r="L43" s="39">
        <f>L40+L41</f>
        <v>1044.4719999999998</v>
      </c>
    </row>
    <row r="44" spans="1:12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6" spans="1:12" x14ac:dyDescent="0.25">
      <c r="A46" s="33" t="s">
        <v>85</v>
      </c>
      <c r="C46" s="47">
        <f>H38/E4</f>
        <v>0.97613656387665193</v>
      </c>
    </row>
    <row r="47" spans="1:12" x14ac:dyDescent="0.25">
      <c r="C47" s="47"/>
    </row>
    <row r="48" spans="1:12" x14ac:dyDescent="0.25">
      <c r="A48" s="33" t="s">
        <v>86</v>
      </c>
      <c r="C48" s="47">
        <f>H38/C4</f>
        <v>36.325081967213116</v>
      </c>
    </row>
    <row r="49" spans="1:12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1" spans="1:12" x14ac:dyDescent="0.25">
      <c r="A51" s="33" t="s">
        <v>87</v>
      </c>
      <c r="E51" s="35" t="s">
        <v>88</v>
      </c>
      <c r="F51" s="53">
        <f>H38</f>
        <v>221.583</v>
      </c>
      <c r="G51" t="s">
        <v>89</v>
      </c>
    </row>
    <row r="53" spans="1:12" x14ac:dyDescent="0.25">
      <c r="A53" t="s">
        <v>101</v>
      </c>
      <c r="C53" s="37"/>
    </row>
    <row r="54" spans="1:12" x14ac:dyDescent="0.25">
      <c r="A54" t="s">
        <v>106</v>
      </c>
      <c r="C54" s="37"/>
    </row>
    <row r="55" spans="1:12" x14ac:dyDescent="0.25">
      <c r="E55" s="34" t="s">
        <v>91</v>
      </c>
    </row>
    <row r="56" spans="1:12" x14ac:dyDescent="0.25">
      <c r="C56" s="46" t="s">
        <v>90</v>
      </c>
      <c r="D56" s="33">
        <f>MIN(QUALITY!$O$20:$O$23)</f>
        <v>202</v>
      </c>
      <c r="E56" s="33">
        <f>AVERAGE(QUALITY!$O$20:$O$23)</f>
        <v>216.75</v>
      </c>
      <c r="F56" s="33">
        <f>MAX(QUALITY!$O$20:$O$23)</f>
        <v>227</v>
      </c>
    </row>
    <row r="57" spans="1:12" x14ac:dyDescent="0.25">
      <c r="A57" s="33" t="s">
        <v>92</v>
      </c>
      <c r="C57" s="33">
        <f>MAX(QUALITY!$H$20:$H$23)</f>
        <v>6.1</v>
      </c>
      <c r="D57" s="39">
        <f>C57*(D56-$E$15)-$H$38</f>
        <v>891.97200000000009</v>
      </c>
      <c r="E57" s="39">
        <f>C57*(E56-$E$15)-$H$38</f>
        <v>981.947</v>
      </c>
      <c r="F57" s="39">
        <f>C57*(F56-$E$15)-$H$38</f>
        <v>1044.472</v>
      </c>
    </row>
    <row r="58" spans="1:12" x14ac:dyDescent="0.25">
      <c r="A58" s="33" t="s">
        <v>93</v>
      </c>
      <c r="C58" s="33">
        <f>AVERAGE(QUALITY!$H$20:$H$23)</f>
        <v>5.9250000000000007</v>
      </c>
      <c r="D58" s="39">
        <f>C58*(D56-$E$15)-$H$38</f>
        <v>860.02575000000013</v>
      </c>
      <c r="E58" s="39">
        <f>C58*(E56-$E$15)-$H$38</f>
        <v>947.41950000000031</v>
      </c>
      <c r="F58" s="39">
        <f>C58*(F56-$E$15)-$H$38</f>
        <v>1008.1507500000004</v>
      </c>
    </row>
    <row r="59" spans="1:12" x14ac:dyDescent="0.25">
      <c r="A59" s="33" t="s">
        <v>94</v>
      </c>
      <c r="C59" s="33">
        <f>MIN(QUALITY!$H$20:$H$23)</f>
        <v>5.7</v>
      </c>
      <c r="D59" s="39">
        <f>C59*(D56-$E$15)-$H$38</f>
        <v>818.95200000000011</v>
      </c>
      <c r="E59" s="39">
        <f>C59*(E56-$E$15)-$H$38</f>
        <v>903.02700000000016</v>
      </c>
      <c r="F59" s="39">
        <f>C59*(F56-$E$15)-$H$38</f>
        <v>961.45200000000011</v>
      </c>
    </row>
    <row r="60" spans="1:12" x14ac:dyDescent="0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</row>
  </sheetData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workbookViewId="0"/>
  </sheetViews>
  <sheetFormatPr defaultRowHeight="15" x14ac:dyDescent="0.25"/>
  <cols>
    <col min="1" max="1" width="12.42578125" customWidth="1"/>
    <col min="2" max="2" width="9" customWidth="1"/>
    <col min="257" max="257" width="12.42578125" customWidth="1"/>
    <col min="258" max="258" width="9" customWidth="1"/>
    <col min="513" max="513" width="12.42578125" customWidth="1"/>
    <col min="514" max="514" width="9" customWidth="1"/>
    <col min="769" max="769" width="12.42578125" customWidth="1"/>
    <col min="770" max="770" width="9" customWidth="1"/>
    <col min="1025" max="1025" width="12.42578125" customWidth="1"/>
    <col min="1026" max="1026" width="9" customWidth="1"/>
    <col min="1281" max="1281" width="12.42578125" customWidth="1"/>
    <col min="1282" max="1282" width="9" customWidth="1"/>
    <col min="1537" max="1537" width="12.42578125" customWidth="1"/>
    <col min="1538" max="1538" width="9" customWidth="1"/>
    <col min="1793" max="1793" width="12.42578125" customWidth="1"/>
    <col min="1794" max="1794" width="9" customWidth="1"/>
    <col min="2049" max="2049" width="12.42578125" customWidth="1"/>
    <col min="2050" max="2050" width="9" customWidth="1"/>
    <col min="2305" max="2305" width="12.42578125" customWidth="1"/>
    <col min="2306" max="2306" width="9" customWidth="1"/>
    <col min="2561" max="2561" width="12.42578125" customWidth="1"/>
    <col min="2562" max="2562" width="9" customWidth="1"/>
    <col min="2817" max="2817" width="12.42578125" customWidth="1"/>
    <col min="2818" max="2818" width="9" customWidth="1"/>
    <col min="3073" max="3073" width="12.42578125" customWidth="1"/>
    <col min="3074" max="3074" width="9" customWidth="1"/>
    <col min="3329" max="3329" width="12.42578125" customWidth="1"/>
    <col min="3330" max="3330" width="9" customWidth="1"/>
    <col min="3585" max="3585" width="12.42578125" customWidth="1"/>
    <col min="3586" max="3586" width="9" customWidth="1"/>
    <col min="3841" max="3841" width="12.42578125" customWidth="1"/>
    <col min="3842" max="3842" width="9" customWidth="1"/>
    <col min="4097" max="4097" width="12.42578125" customWidth="1"/>
    <col min="4098" max="4098" width="9" customWidth="1"/>
    <col min="4353" max="4353" width="12.42578125" customWidth="1"/>
    <col min="4354" max="4354" width="9" customWidth="1"/>
    <col min="4609" max="4609" width="12.42578125" customWidth="1"/>
    <col min="4610" max="4610" width="9" customWidth="1"/>
    <col min="4865" max="4865" width="12.42578125" customWidth="1"/>
    <col min="4866" max="4866" width="9" customWidth="1"/>
    <col min="5121" max="5121" width="12.42578125" customWidth="1"/>
    <col min="5122" max="5122" width="9" customWidth="1"/>
    <col min="5377" max="5377" width="12.42578125" customWidth="1"/>
    <col min="5378" max="5378" width="9" customWidth="1"/>
    <col min="5633" max="5633" width="12.42578125" customWidth="1"/>
    <col min="5634" max="5634" width="9" customWidth="1"/>
    <col min="5889" max="5889" width="12.42578125" customWidth="1"/>
    <col min="5890" max="5890" width="9" customWidth="1"/>
    <col min="6145" max="6145" width="12.42578125" customWidth="1"/>
    <col min="6146" max="6146" width="9" customWidth="1"/>
    <col min="6401" max="6401" width="12.42578125" customWidth="1"/>
    <col min="6402" max="6402" width="9" customWidth="1"/>
    <col min="6657" max="6657" width="12.42578125" customWidth="1"/>
    <col min="6658" max="6658" width="9" customWidth="1"/>
    <col min="6913" max="6913" width="12.42578125" customWidth="1"/>
    <col min="6914" max="6914" width="9" customWidth="1"/>
    <col min="7169" max="7169" width="12.42578125" customWidth="1"/>
    <col min="7170" max="7170" width="9" customWidth="1"/>
    <col min="7425" max="7425" width="12.42578125" customWidth="1"/>
    <col min="7426" max="7426" width="9" customWidth="1"/>
    <col min="7681" max="7681" width="12.42578125" customWidth="1"/>
    <col min="7682" max="7682" width="9" customWidth="1"/>
    <col min="7937" max="7937" width="12.42578125" customWidth="1"/>
    <col min="7938" max="7938" width="9" customWidth="1"/>
    <col min="8193" max="8193" width="12.42578125" customWidth="1"/>
    <col min="8194" max="8194" width="9" customWidth="1"/>
    <col min="8449" max="8449" width="12.42578125" customWidth="1"/>
    <col min="8450" max="8450" width="9" customWidth="1"/>
    <col min="8705" max="8705" width="12.42578125" customWidth="1"/>
    <col min="8706" max="8706" width="9" customWidth="1"/>
    <col min="8961" max="8961" width="12.42578125" customWidth="1"/>
    <col min="8962" max="8962" width="9" customWidth="1"/>
    <col min="9217" max="9217" width="12.42578125" customWidth="1"/>
    <col min="9218" max="9218" width="9" customWidth="1"/>
    <col min="9473" max="9473" width="12.42578125" customWidth="1"/>
    <col min="9474" max="9474" width="9" customWidth="1"/>
    <col min="9729" max="9729" width="12.42578125" customWidth="1"/>
    <col min="9730" max="9730" width="9" customWidth="1"/>
    <col min="9985" max="9985" width="12.42578125" customWidth="1"/>
    <col min="9986" max="9986" width="9" customWidth="1"/>
    <col min="10241" max="10241" width="12.42578125" customWidth="1"/>
    <col min="10242" max="10242" width="9" customWidth="1"/>
    <col min="10497" max="10497" width="12.42578125" customWidth="1"/>
    <col min="10498" max="10498" width="9" customWidth="1"/>
    <col min="10753" max="10753" width="12.42578125" customWidth="1"/>
    <col min="10754" max="10754" width="9" customWidth="1"/>
    <col min="11009" max="11009" width="12.42578125" customWidth="1"/>
    <col min="11010" max="11010" width="9" customWidth="1"/>
    <col min="11265" max="11265" width="12.42578125" customWidth="1"/>
    <col min="11266" max="11266" width="9" customWidth="1"/>
    <col min="11521" max="11521" width="12.42578125" customWidth="1"/>
    <col min="11522" max="11522" width="9" customWidth="1"/>
    <col min="11777" max="11777" width="12.42578125" customWidth="1"/>
    <col min="11778" max="11778" width="9" customWidth="1"/>
    <col min="12033" max="12033" width="12.42578125" customWidth="1"/>
    <col min="12034" max="12034" width="9" customWidth="1"/>
    <col min="12289" max="12289" width="12.42578125" customWidth="1"/>
    <col min="12290" max="12290" width="9" customWidth="1"/>
    <col min="12545" max="12545" width="12.42578125" customWidth="1"/>
    <col min="12546" max="12546" width="9" customWidth="1"/>
    <col min="12801" max="12801" width="12.42578125" customWidth="1"/>
    <col min="12802" max="12802" width="9" customWidth="1"/>
    <col min="13057" max="13057" width="12.42578125" customWidth="1"/>
    <col min="13058" max="13058" width="9" customWidth="1"/>
    <col min="13313" max="13313" width="12.42578125" customWidth="1"/>
    <col min="13314" max="13314" width="9" customWidth="1"/>
    <col min="13569" max="13569" width="12.42578125" customWidth="1"/>
    <col min="13570" max="13570" width="9" customWidth="1"/>
    <col min="13825" max="13825" width="12.42578125" customWidth="1"/>
    <col min="13826" max="13826" width="9" customWidth="1"/>
    <col min="14081" max="14081" width="12.42578125" customWidth="1"/>
    <col min="14082" max="14082" width="9" customWidth="1"/>
    <col min="14337" max="14337" width="12.42578125" customWidth="1"/>
    <col min="14338" max="14338" width="9" customWidth="1"/>
    <col min="14593" max="14593" width="12.42578125" customWidth="1"/>
    <col min="14594" max="14594" width="9" customWidth="1"/>
    <col min="14849" max="14849" width="12.42578125" customWidth="1"/>
    <col min="14850" max="14850" width="9" customWidth="1"/>
    <col min="15105" max="15105" width="12.42578125" customWidth="1"/>
    <col min="15106" max="15106" width="9" customWidth="1"/>
    <col min="15361" max="15361" width="12.42578125" customWidth="1"/>
    <col min="15362" max="15362" width="9" customWidth="1"/>
    <col min="15617" max="15617" width="12.42578125" customWidth="1"/>
    <col min="15618" max="15618" width="9" customWidth="1"/>
    <col min="15873" max="15873" width="12.42578125" customWidth="1"/>
    <col min="15874" max="15874" width="9" customWidth="1"/>
    <col min="16129" max="16129" width="12.42578125" customWidth="1"/>
    <col min="16130" max="16130" width="9" customWidth="1"/>
  </cols>
  <sheetData>
    <row r="1" spans="1:13" ht="18" x14ac:dyDescent="0.25">
      <c r="A1" s="29" t="s">
        <v>140</v>
      </c>
      <c r="B1" s="29"/>
      <c r="C1" s="30"/>
      <c r="D1" s="29"/>
      <c r="F1" s="29"/>
      <c r="G1" s="29">
        <f>RESULTS!I1</f>
        <v>2016</v>
      </c>
      <c r="H1" s="15"/>
      <c r="I1" s="29" t="s">
        <v>38</v>
      </c>
      <c r="J1" s="15"/>
      <c r="K1" s="15"/>
      <c r="L1" s="31">
        <v>1</v>
      </c>
    </row>
    <row r="2" spans="1:13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32"/>
    </row>
    <row r="3" spans="1:13" x14ac:dyDescent="0.25">
      <c r="A3" s="33" t="s">
        <v>39</v>
      </c>
      <c r="C3" s="34" t="s">
        <v>40</v>
      </c>
      <c r="D3" s="34"/>
      <c r="E3" s="34" t="s">
        <v>41</v>
      </c>
      <c r="F3" s="34"/>
      <c r="H3" s="34" t="s">
        <v>42</v>
      </c>
      <c r="K3" s="35" t="s">
        <v>43</v>
      </c>
      <c r="L3">
        <f>C4*L1</f>
        <v>4.3</v>
      </c>
    </row>
    <row r="4" spans="1:13" x14ac:dyDescent="0.25">
      <c r="C4" s="36">
        <f>QUALITY!I25</f>
        <v>4.3</v>
      </c>
      <c r="D4" s="37"/>
      <c r="E4" s="37">
        <f>QUALITY!O25</f>
        <v>400</v>
      </c>
      <c r="F4" s="37"/>
      <c r="H4" s="37">
        <f>E4*C4</f>
        <v>1720</v>
      </c>
      <c r="K4" s="35" t="s">
        <v>44</v>
      </c>
      <c r="L4">
        <f>L3-L6</f>
        <v>4.3</v>
      </c>
    </row>
    <row r="5" spans="1:13" x14ac:dyDescent="0.25">
      <c r="K5" s="35"/>
    </row>
    <row r="6" spans="1:13" x14ac:dyDescent="0.25">
      <c r="K6" s="35" t="s">
        <v>45</v>
      </c>
      <c r="L6" s="37">
        <v>0</v>
      </c>
    </row>
    <row r="7" spans="1:13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3" x14ac:dyDescent="0.25">
      <c r="A8" s="33" t="s">
        <v>46</v>
      </c>
    </row>
    <row r="10" spans="1:13" x14ac:dyDescent="0.25">
      <c r="A10" t="s">
        <v>142</v>
      </c>
      <c r="C10">
        <f>C4</f>
        <v>4.3</v>
      </c>
      <c r="E10" s="37">
        <f>QUALITY!P25</f>
        <v>32.15</v>
      </c>
      <c r="H10">
        <f>E10*C10</f>
        <v>138.24499999999998</v>
      </c>
      <c r="K10" s="35" t="s">
        <v>47</v>
      </c>
      <c r="L10">
        <f>L4*E4</f>
        <v>1720</v>
      </c>
    </row>
    <row r="11" spans="1:13" x14ac:dyDescent="0.25">
      <c r="A11" t="s">
        <v>141</v>
      </c>
      <c r="C11">
        <f>C4</f>
        <v>4.3</v>
      </c>
      <c r="E11" s="37">
        <v>0</v>
      </c>
      <c r="H11">
        <f>E11*C11</f>
        <v>0</v>
      </c>
      <c r="K11" s="35" t="s">
        <v>48</v>
      </c>
      <c r="L11">
        <f>L4*E15</f>
        <v>138.24499999999998</v>
      </c>
    </row>
    <row r="12" spans="1:13" x14ac:dyDescent="0.25">
      <c r="A12">
        <v>3</v>
      </c>
      <c r="C12">
        <f>C4</f>
        <v>4.3</v>
      </c>
      <c r="E12" s="37">
        <v>0</v>
      </c>
      <c r="H12">
        <f>E12*C12</f>
        <v>0</v>
      </c>
      <c r="K12" s="35"/>
    </row>
    <row r="13" spans="1:13" x14ac:dyDescent="0.25">
      <c r="A13">
        <v>4</v>
      </c>
      <c r="C13">
        <f>C4</f>
        <v>4.3</v>
      </c>
      <c r="E13" s="37">
        <v>0</v>
      </c>
      <c r="H13">
        <f>E13*C13</f>
        <v>0</v>
      </c>
      <c r="K13" s="35" t="s">
        <v>49</v>
      </c>
      <c r="L13">
        <f>L10-L11</f>
        <v>1581.7550000000001</v>
      </c>
    </row>
    <row r="14" spans="1:13" x14ac:dyDescent="0.25">
      <c r="K14" s="35"/>
    </row>
    <row r="15" spans="1:13" x14ac:dyDescent="0.25">
      <c r="C15" s="33" t="s">
        <v>50</v>
      </c>
      <c r="E15">
        <f>SUM(E10:E13)</f>
        <v>32.15</v>
      </c>
      <c r="H15">
        <f>SUM(H10:H13)</f>
        <v>138.24499999999998</v>
      </c>
      <c r="K15" s="35" t="s">
        <v>51</v>
      </c>
      <c r="L15">
        <f>L13*M15</f>
        <v>1581.7550000000001</v>
      </c>
      <c r="M15" s="38">
        <v>1</v>
      </c>
    </row>
    <row r="16" spans="1:13" x14ac:dyDescent="0.25">
      <c r="K16" s="35" t="s">
        <v>52</v>
      </c>
      <c r="L16">
        <f>L13*M16</f>
        <v>0</v>
      </c>
      <c r="M16" s="38">
        <v>0</v>
      </c>
    </row>
    <row r="17" spans="1:13" x14ac:dyDescent="0.25">
      <c r="C17" s="33" t="s">
        <v>53</v>
      </c>
      <c r="E17">
        <f>E4-E15</f>
        <v>367.85</v>
      </c>
      <c r="H17">
        <f>H4-H15</f>
        <v>1581.7550000000001</v>
      </c>
      <c r="K17" s="35" t="s">
        <v>54</v>
      </c>
      <c r="L17">
        <f>L13*M17</f>
        <v>0</v>
      </c>
      <c r="M17" s="38">
        <v>0</v>
      </c>
    </row>
    <row r="18" spans="1:13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20" spans="1:13" x14ac:dyDescent="0.25">
      <c r="A20" s="33" t="s">
        <v>55</v>
      </c>
      <c r="C20" s="34" t="s">
        <v>56</v>
      </c>
      <c r="D20" s="34" t="s">
        <v>57</v>
      </c>
      <c r="E20" s="34" t="s">
        <v>58</v>
      </c>
      <c r="F20" s="34" t="s">
        <v>57</v>
      </c>
      <c r="G20" s="34"/>
      <c r="H20" s="34" t="s">
        <v>59</v>
      </c>
    </row>
    <row r="22" spans="1:13" x14ac:dyDescent="0.25">
      <c r="A22" t="s">
        <v>60</v>
      </c>
      <c r="C22" s="37">
        <f>'COO BR'!C22</f>
        <v>68</v>
      </c>
      <c r="D22" t="s">
        <v>61</v>
      </c>
      <c r="E22" s="37">
        <f>E4/1000</f>
        <v>0.4</v>
      </c>
      <c r="F22" t="s">
        <v>62</v>
      </c>
      <c r="H22">
        <f>C22*E22</f>
        <v>27.200000000000003</v>
      </c>
      <c r="I22" s="37"/>
      <c r="L22" s="39">
        <f>H22*$L$1</f>
        <v>27.200000000000003</v>
      </c>
    </row>
    <row r="23" spans="1:13" x14ac:dyDescent="0.25">
      <c r="A23" t="s">
        <v>63</v>
      </c>
      <c r="C23" s="37">
        <v>0</v>
      </c>
      <c r="D23" t="s">
        <v>61</v>
      </c>
      <c r="E23" s="37">
        <f>'COO BR'!E23</f>
        <v>50</v>
      </c>
      <c r="F23" t="s">
        <v>62</v>
      </c>
      <c r="H23">
        <f>E23*C23</f>
        <v>0</v>
      </c>
      <c r="L23" s="39">
        <f t="shared" ref="L23:L33" si="0">H23*$L$1</f>
        <v>0</v>
      </c>
    </row>
    <row r="24" spans="1:13" x14ac:dyDescent="0.25">
      <c r="A24" t="s">
        <v>64</v>
      </c>
      <c r="B24" s="40" t="s">
        <v>122</v>
      </c>
      <c r="C24" s="37">
        <f>'COO BR'!C24</f>
        <v>100</v>
      </c>
      <c r="D24" t="s">
        <v>61</v>
      </c>
      <c r="E24" s="37">
        <f>'COO BR'!E24</f>
        <v>998</v>
      </c>
      <c r="F24" t="s">
        <v>65</v>
      </c>
      <c r="H24">
        <f>C24*E24/1000</f>
        <v>99.8</v>
      </c>
      <c r="L24" s="39">
        <f t="shared" si="0"/>
        <v>99.8</v>
      </c>
    </row>
    <row r="25" spans="1:13" x14ac:dyDescent="0.25">
      <c r="A25" t="s">
        <v>66</v>
      </c>
      <c r="B25" s="40" t="s">
        <v>121</v>
      </c>
      <c r="C25" s="37">
        <f>'COO BR'!C25</f>
        <v>0</v>
      </c>
      <c r="D25" t="s">
        <v>67</v>
      </c>
      <c r="E25" s="37">
        <f>'COO BR'!E25</f>
        <v>750</v>
      </c>
      <c r="F25" t="s">
        <v>143</v>
      </c>
      <c r="H25" s="42">
        <f>C25*E25/1000</f>
        <v>0</v>
      </c>
      <c r="L25" s="39">
        <f>H25*L1</f>
        <v>0</v>
      </c>
    </row>
    <row r="26" spans="1:13" x14ac:dyDescent="0.25">
      <c r="A26" t="s">
        <v>68</v>
      </c>
      <c r="B26" s="40" t="s">
        <v>120</v>
      </c>
      <c r="C26" s="37">
        <f>'COO BR'!C26</f>
        <v>2</v>
      </c>
      <c r="D26" t="s">
        <v>69</v>
      </c>
      <c r="E26" s="37">
        <f>'COO BR'!E26</f>
        <v>8</v>
      </c>
      <c r="F26" t="s">
        <v>70</v>
      </c>
      <c r="H26">
        <f>E26*C26</f>
        <v>16</v>
      </c>
      <c r="L26" s="39">
        <f t="shared" si="0"/>
        <v>16</v>
      </c>
    </row>
    <row r="27" spans="1:13" x14ac:dyDescent="0.25">
      <c r="A27" t="s">
        <v>71</v>
      </c>
      <c r="B27" s="40" t="s">
        <v>119</v>
      </c>
      <c r="C27" s="37">
        <f>'COO BR'!C27</f>
        <v>0.15</v>
      </c>
      <c r="D27" t="s">
        <v>69</v>
      </c>
      <c r="E27" s="37">
        <f>'COO BR'!E27</f>
        <v>50</v>
      </c>
      <c r="F27" t="s">
        <v>70</v>
      </c>
      <c r="H27">
        <f>E27*C27</f>
        <v>7.5</v>
      </c>
      <c r="L27" s="39">
        <f t="shared" si="0"/>
        <v>7.5</v>
      </c>
    </row>
    <row r="28" spans="1:13" x14ac:dyDescent="0.25">
      <c r="A28" t="s">
        <v>72</v>
      </c>
      <c r="B28" s="40" t="s">
        <v>118</v>
      </c>
      <c r="C28" s="37">
        <f>'COO BR'!C28</f>
        <v>1.8</v>
      </c>
      <c r="D28" t="s">
        <v>69</v>
      </c>
      <c r="E28" s="37">
        <f>'COO BR'!E28</f>
        <v>20</v>
      </c>
      <c r="F28" t="s">
        <v>70</v>
      </c>
      <c r="H28">
        <f>E28*C28</f>
        <v>36</v>
      </c>
      <c r="L28" s="39">
        <f t="shared" si="0"/>
        <v>36</v>
      </c>
    </row>
    <row r="29" spans="1:13" x14ac:dyDescent="0.25">
      <c r="A29" t="s">
        <v>73</v>
      </c>
      <c r="B29" s="40" t="s">
        <v>134</v>
      </c>
      <c r="C29" s="37">
        <f>'COO BR'!C29</f>
        <v>0.5</v>
      </c>
      <c r="D29" t="s">
        <v>69</v>
      </c>
      <c r="E29" s="37">
        <f>'COO BR'!E29</f>
        <v>11</v>
      </c>
      <c r="F29" t="s">
        <v>70</v>
      </c>
      <c r="H29">
        <f>E29*C29</f>
        <v>5.5</v>
      </c>
      <c r="L29" s="39">
        <f t="shared" si="0"/>
        <v>5.5</v>
      </c>
    </row>
    <row r="30" spans="1:13" x14ac:dyDescent="0.25">
      <c r="A30" t="s">
        <v>74</v>
      </c>
      <c r="B30" s="40" t="s">
        <v>117</v>
      </c>
      <c r="C30" s="37">
        <f>'COO BR'!C30</f>
        <v>0.125</v>
      </c>
      <c r="D30" t="s">
        <v>69</v>
      </c>
      <c r="E30" s="37">
        <f>'COO BR'!E30</f>
        <v>20</v>
      </c>
      <c r="F30" t="s">
        <v>70</v>
      </c>
      <c r="H30">
        <f>E30*C30</f>
        <v>2.5</v>
      </c>
      <c r="L30" s="39">
        <f t="shared" si="0"/>
        <v>2.5</v>
      </c>
    </row>
    <row r="31" spans="1:13" x14ac:dyDescent="0.25">
      <c r="A31" t="s">
        <v>75</v>
      </c>
      <c r="C31" s="41">
        <v>0.01</v>
      </c>
      <c r="E31" s="37"/>
      <c r="H31" s="42">
        <f>C31*H4</f>
        <v>17.2</v>
      </c>
      <c r="L31" s="39">
        <f t="shared" si="0"/>
        <v>17.2</v>
      </c>
    </row>
    <row r="32" spans="1:13" x14ac:dyDescent="0.25">
      <c r="A32" t="s">
        <v>76</v>
      </c>
      <c r="C32" s="43">
        <f>C13</f>
        <v>4.3</v>
      </c>
      <c r="D32" t="s">
        <v>77</v>
      </c>
      <c r="E32" s="37">
        <v>0</v>
      </c>
      <c r="F32" t="s">
        <v>65</v>
      </c>
      <c r="H32" s="39">
        <f>E32*C32</f>
        <v>0</v>
      </c>
      <c r="L32" s="39">
        <f t="shared" si="0"/>
        <v>0</v>
      </c>
    </row>
    <row r="33" spans="1:12" x14ac:dyDescent="0.25">
      <c r="A33" t="s">
        <v>78</v>
      </c>
      <c r="C33" s="37">
        <v>9</v>
      </c>
      <c r="D33" t="s">
        <v>69</v>
      </c>
      <c r="E33" s="37">
        <f>'COO BR'!E34</f>
        <v>1.5</v>
      </c>
      <c r="F33" t="s">
        <v>70</v>
      </c>
      <c r="H33">
        <f>E33*C33</f>
        <v>13.5</v>
      </c>
      <c r="L33" s="39">
        <f t="shared" si="0"/>
        <v>13.5</v>
      </c>
    </row>
    <row r="34" spans="1:12" x14ac:dyDescent="0.25">
      <c r="C34" s="44"/>
      <c r="E34" s="45"/>
      <c r="L34" s="39"/>
    </row>
    <row r="35" spans="1:12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7" spans="1:12" x14ac:dyDescent="0.25">
      <c r="F37" s="46" t="s">
        <v>79</v>
      </c>
      <c r="H37">
        <f>SUM(H22:H35)</f>
        <v>225.2</v>
      </c>
      <c r="K37" s="46" t="s">
        <v>80</v>
      </c>
      <c r="L37" s="39">
        <f>SUM(L22:L36)</f>
        <v>225.2</v>
      </c>
    </row>
    <row r="38" spans="1:12" x14ac:dyDescent="0.25">
      <c r="K38" s="46"/>
      <c r="L38" s="39"/>
    </row>
    <row r="39" spans="1:12" x14ac:dyDescent="0.25">
      <c r="K39" s="46" t="s">
        <v>81</v>
      </c>
      <c r="L39" s="39">
        <f>L13-L37</f>
        <v>1356.5550000000001</v>
      </c>
    </row>
    <row r="40" spans="1:12" x14ac:dyDescent="0.25">
      <c r="K40" s="46" t="s">
        <v>82</v>
      </c>
      <c r="L40" s="39">
        <f>L6*E17</f>
        <v>0</v>
      </c>
    </row>
    <row r="41" spans="1:12" x14ac:dyDescent="0.25">
      <c r="K41" s="46"/>
      <c r="L41" s="39"/>
    </row>
    <row r="42" spans="1:12" x14ac:dyDescent="0.25">
      <c r="F42" s="46" t="s">
        <v>83</v>
      </c>
      <c r="H42">
        <f>H17-H37</f>
        <v>1356.5550000000001</v>
      </c>
      <c r="K42" s="46" t="s">
        <v>84</v>
      </c>
      <c r="L42" s="39">
        <f>L39+L40</f>
        <v>1356.5550000000001</v>
      </c>
    </row>
    <row r="43" spans="1:12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</row>
    <row r="45" spans="1:12" x14ac:dyDescent="0.25">
      <c r="A45" s="33" t="s">
        <v>85</v>
      </c>
      <c r="C45" s="47">
        <f>H37/E4</f>
        <v>0.56299999999999994</v>
      </c>
    </row>
    <row r="46" spans="1:12" x14ac:dyDescent="0.25">
      <c r="C46" s="47"/>
    </row>
    <row r="47" spans="1:12" x14ac:dyDescent="0.25">
      <c r="A47" s="33" t="s">
        <v>86</v>
      </c>
      <c r="C47" s="47">
        <f>H37/C4</f>
        <v>52.372093023255815</v>
      </c>
    </row>
    <row r="48" spans="1:12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</row>
    <row r="50" spans="1:12" x14ac:dyDescent="0.25">
      <c r="A50" s="33" t="s">
        <v>87</v>
      </c>
      <c r="E50" s="35" t="s">
        <v>88</v>
      </c>
      <c r="F50" s="7">
        <f>H37</f>
        <v>225.2</v>
      </c>
      <c r="G50" t="s">
        <v>89</v>
      </c>
    </row>
    <row r="52" spans="1:12" x14ac:dyDescent="0.25">
      <c r="A52" t="s">
        <v>101</v>
      </c>
      <c r="C52" s="37"/>
    </row>
    <row r="53" spans="1:12" x14ac:dyDescent="0.25">
      <c r="A53" t="s">
        <v>106</v>
      </c>
      <c r="C53" s="37"/>
    </row>
    <row r="54" spans="1:12" x14ac:dyDescent="0.25">
      <c r="E54" s="34" t="s">
        <v>91</v>
      </c>
    </row>
    <row r="55" spans="1:12" x14ac:dyDescent="0.25">
      <c r="C55" s="46" t="s">
        <v>90</v>
      </c>
      <c r="D55" s="33">
        <f>MIN(QUALITY!$O$24:$O$27)</f>
        <v>153</v>
      </c>
      <c r="E55" s="33">
        <f>AVERAGE(QUALITY!$O$24:$O$27)</f>
        <v>338.25</v>
      </c>
      <c r="F55" s="33">
        <f>MAX(QUALITY!$O$24:$O$27)</f>
        <v>400</v>
      </c>
    </row>
    <row r="56" spans="1:12" x14ac:dyDescent="0.25">
      <c r="A56" s="33" t="s">
        <v>92</v>
      </c>
      <c r="C56" s="33">
        <f>MAX(QUALITY!$H$24:$H$27)</f>
        <v>4.3</v>
      </c>
      <c r="D56" s="39">
        <f>C56*(D55-$E$15)-$H$37</f>
        <v>294.45499999999998</v>
      </c>
      <c r="E56" s="39">
        <f>C56*(E55-$E$15)-$H$37</f>
        <v>1091.03</v>
      </c>
      <c r="F56" s="39">
        <f>C56*(F55-$E$15)-$H$37</f>
        <v>1356.5550000000001</v>
      </c>
    </row>
    <row r="57" spans="1:12" x14ac:dyDescent="0.25">
      <c r="A57" s="33" t="s">
        <v>93</v>
      </c>
      <c r="C57" s="52">
        <f>AVERAGE(QUALITY!$H$24:$H$27)</f>
        <v>4.2</v>
      </c>
      <c r="D57" s="39">
        <f>C57*(D55-$E$15)-$H$37</f>
        <v>282.37</v>
      </c>
      <c r="E57" s="39">
        <f>C57*(E55-$E$15)-$H$37</f>
        <v>1060.42</v>
      </c>
      <c r="F57" s="39">
        <f>C57*(F55-$E$15)-$H$37</f>
        <v>1319.7700000000002</v>
      </c>
    </row>
    <row r="58" spans="1:12" x14ac:dyDescent="0.25">
      <c r="A58" s="33" t="s">
        <v>94</v>
      </c>
      <c r="C58" s="33">
        <f>MIN(QUALITY!$H$24:$H$27)</f>
        <v>4</v>
      </c>
      <c r="D58" s="39">
        <f>C58*(D55-$E$15)-$H$37</f>
        <v>258.2</v>
      </c>
      <c r="E58" s="39">
        <f>C58*(E55-$E$15)-$H$37</f>
        <v>999.2</v>
      </c>
      <c r="F58" s="39">
        <f>C58*(F55-$E$15)-$H$37</f>
        <v>1246.2</v>
      </c>
    </row>
    <row r="59" spans="1:12" x14ac:dyDescent="0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</row>
  </sheetData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workbookViewId="0"/>
  </sheetViews>
  <sheetFormatPr defaultRowHeight="15" x14ac:dyDescent="0.25"/>
  <cols>
    <col min="1" max="1" width="12.42578125" customWidth="1"/>
    <col min="2" max="2" width="9" customWidth="1"/>
    <col min="257" max="257" width="12.42578125" customWidth="1"/>
    <col min="258" max="258" width="9" customWidth="1"/>
    <col min="513" max="513" width="12.42578125" customWidth="1"/>
    <col min="514" max="514" width="9" customWidth="1"/>
    <col min="769" max="769" width="12.42578125" customWidth="1"/>
    <col min="770" max="770" width="9" customWidth="1"/>
    <col min="1025" max="1025" width="12.42578125" customWidth="1"/>
    <col min="1026" max="1026" width="9" customWidth="1"/>
    <col min="1281" max="1281" width="12.42578125" customWidth="1"/>
    <col min="1282" max="1282" width="9" customWidth="1"/>
    <col min="1537" max="1537" width="12.42578125" customWidth="1"/>
    <col min="1538" max="1538" width="9" customWidth="1"/>
    <col min="1793" max="1793" width="12.42578125" customWidth="1"/>
    <col min="1794" max="1794" width="9" customWidth="1"/>
    <col min="2049" max="2049" width="12.42578125" customWidth="1"/>
    <col min="2050" max="2050" width="9" customWidth="1"/>
    <col min="2305" max="2305" width="12.42578125" customWidth="1"/>
    <col min="2306" max="2306" width="9" customWidth="1"/>
    <col min="2561" max="2561" width="12.42578125" customWidth="1"/>
    <col min="2562" max="2562" width="9" customWidth="1"/>
    <col min="2817" max="2817" width="12.42578125" customWidth="1"/>
    <col min="2818" max="2818" width="9" customWidth="1"/>
    <col min="3073" max="3073" width="12.42578125" customWidth="1"/>
    <col min="3074" max="3074" width="9" customWidth="1"/>
    <col min="3329" max="3329" width="12.42578125" customWidth="1"/>
    <col min="3330" max="3330" width="9" customWidth="1"/>
    <col min="3585" max="3585" width="12.42578125" customWidth="1"/>
    <col min="3586" max="3586" width="9" customWidth="1"/>
    <col min="3841" max="3841" width="12.42578125" customWidth="1"/>
    <col min="3842" max="3842" width="9" customWidth="1"/>
    <col min="4097" max="4097" width="12.42578125" customWidth="1"/>
    <col min="4098" max="4098" width="9" customWidth="1"/>
    <col min="4353" max="4353" width="12.42578125" customWidth="1"/>
    <col min="4354" max="4354" width="9" customWidth="1"/>
    <col min="4609" max="4609" width="12.42578125" customWidth="1"/>
    <col min="4610" max="4610" width="9" customWidth="1"/>
    <col min="4865" max="4865" width="12.42578125" customWidth="1"/>
    <col min="4866" max="4866" width="9" customWidth="1"/>
    <col min="5121" max="5121" width="12.42578125" customWidth="1"/>
    <col min="5122" max="5122" width="9" customWidth="1"/>
    <col min="5377" max="5377" width="12.42578125" customWidth="1"/>
    <col min="5378" max="5378" width="9" customWidth="1"/>
    <col min="5633" max="5633" width="12.42578125" customWidth="1"/>
    <col min="5634" max="5634" width="9" customWidth="1"/>
    <col min="5889" max="5889" width="12.42578125" customWidth="1"/>
    <col min="5890" max="5890" width="9" customWidth="1"/>
    <col min="6145" max="6145" width="12.42578125" customWidth="1"/>
    <col min="6146" max="6146" width="9" customWidth="1"/>
    <col min="6401" max="6401" width="12.42578125" customWidth="1"/>
    <col min="6402" max="6402" width="9" customWidth="1"/>
    <col min="6657" max="6657" width="12.42578125" customWidth="1"/>
    <col min="6658" max="6658" width="9" customWidth="1"/>
    <col min="6913" max="6913" width="12.42578125" customWidth="1"/>
    <col min="6914" max="6914" width="9" customWidth="1"/>
    <col min="7169" max="7169" width="12.42578125" customWidth="1"/>
    <col min="7170" max="7170" width="9" customWidth="1"/>
    <col min="7425" max="7425" width="12.42578125" customWidth="1"/>
    <col min="7426" max="7426" width="9" customWidth="1"/>
    <col min="7681" max="7681" width="12.42578125" customWidth="1"/>
    <col min="7682" max="7682" width="9" customWidth="1"/>
    <col min="7937" max="7937" width="12.42578125" customWidth="1"/>
    <col min="7938" max="7938" width="9" customWidth="1"/>
    <col min="8193" max="8193" width="12.42578125" customWidth="1"/>
    <col min="8194" max="8194" width="9" customWidth="1"/>
    <col min="8449" max="8449" width="12.42578125" customWidth="1"/>
    <col min="8450" max="8450" width="9" customWidth="1"/>
    <col min="8705" max="8705" width="12.42578125" customWidth="1"/>
    <col min="8706" max="8706" width="9" customWidth="1"/>
    <col min="8961" max="8961" width="12.42578125" customWidth="1"/>
    <col min="8962" max="8962" width="9" customWidth="1"/>
    <col min="9217" max="9217" width="12.42578125" customWidth="1"/>
    <col min="9218" max="9218" width="9" customWidth="1"/>
    <col min="9473" max="9473" width="12.42578125" customWidth="1"/>
    <col min="9474" max="9474" width="9" customWidth="1"/>
    <col min="9729" max="9729" width="12.42578125" customWidth="1"/>
    <col min="9730" max="9730" width="9" customWidth="1"/>
    <col min="9985" max="9985" width="12.42578125" customWidth="1"/>
    <col min="9986" max="9986" width="9" customWidth="1"/>
    <col min="10241" max="10241" width="12.42578125" customWidth="1"/>
    <col min="10242" max="10242" width="9" customWidth="1"/>
    <col min="10497" max="10497" width="12.42578125" customWidth="1"/>
    <col min="10498" max="10498" width="9" customWidth="1"/>
    <col min="10753" max="10753" width="12.42578125" customWidth="1"/>
    <col min="10754" max="10754" width="9" customWidth="1"/>
    <col min="11009" max="11009" width="12.42578125" customWidth="1"/>
    <col min="11010" max="11010" width="9" customWidth="1"/>
    <col min="11265" max="11265" width="12.42578125" customWidth="1"/>
    <col min="11266" max="11266" width="9" customWidth="1"/>
    <col min="11521" max="11521" width="12.42578125" customWidth="1"/>
    <col min="11522" max="11522" width="9" customWidth="1"/>
    <col min="11777" max="11777" width="12.42578125" customWidth="1"/>
    <col min="11778" max="11778" width="9" customWidth="1"/>
    <col min="12033" max="12033" width="12.42578125" customWidth="1"/>
    <col min="12034" max="12034" width="9" customWidth="1"/>
    <col min="12289" max="12289" width="12.42578125" customWidth="1"/>
    <col min="12290" max="12290" width="9" customWidth="1"/>
    <col min="12545" max="12545" width="12.42578125" customWidth="1"/>
    <col min="12546" max="12546" width="9" customWidth="1"/>
    <col min="12801" max="12801" width="12.42578125" customWidth="1"/>
    <col min="12802" max="12802" width="9" customWidth="1"/>
    <col min="13057" max="13057" width="12.42578125" customWidth="1"/>
    <col min="13058" max="13058" width="9" customWidth="1"/>
    <col min="13313" max="13313" width="12.42578125" customWidth="1"/>
    <col min="13314" max="13314" width="9" customWidth="1"/>
    <col min="13569" max="13569" width="12.42578125" customWidth="1"/>
    <col min="13570" max="13570" width="9" customWidth="1"/>
    <col min="13825" max="13825" width="12.42578125" customWidth="1"/>
    <col min="13826" max="13826" width="9" customWidth="1"/>
    <col min="14081" max="14081" width="12.42578125" customWidth="1"/>
    <col min="14082" max="14082" width="9" customWidth="1"/>
    <col min="14337" max="14337" width="12.42578125" customWidth="1"/>
    <col min="14338" max="14338" width="9" customWidth="1"/>
    <col min="14593" max="14593" width="12.42578125" customWidth="1"/>
    <col min="14594" max="14594" width="9" customWidth="1"/>
    <col min="14849" max="14849" width="12.42578125" customWidth="1"/>
    <col min="14850" max="14850" width="9" customWidth="1"/>
    <col min="15105" max="15105" width="12.42578125" customWidth="1"/>
    <col min="15106" max="15106" width="9" customWidth="1"/>
    <col min="15361" max="15361" width="12.42578125" customWidth="1"/>
    <col min="15362" max="15362" width="9" customWidth="1"/>
    <col min="15617" max="15617" width="12.42578125" customWidth="1"/>
    <col min="15618" max="15618" width="9" customWidth="1"/>
    <col min="15873" max="15873" width="12.42578125" customWidth="1"/>
    <col min="15874" max="15874" width="9" customWidth="1"/>
    <col min="16129" max="16129" width="12.42578125" customWidth="1"/>
    <col min="16130" max="16130" width="9" customWidth="1"/>
  </cols>
  <sheetData>
    <row r="1" spans="1:13" ht="18" x14ac:dyDescent="0.25">
      <c r="A1" s="29" t="s">
        <v>144</v>
      </c>
      <c r="B1" s="29"/>
      <c r="C1" s="30"/>
      <c r="D1" s="29"/>
      <c r="F1" s="29"/>
      <c r="G1" s="29">
        <f>RESULTS!I1</f>
        <v>2016</v>
      </c>
      <c r="H1" s="15"/>
      <c r="I1" s="29" t="s">
        <v>38</v>
      </c>
      <c r="J1" s="15"/>
      <c r="K1" s="15"/>
      <c r="L1" s="31">
        <v>1</v>
      </c>
    </row>
    <row r="2" spans="1:13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32"/>
    </row>
    <row r="3" spans="1:13" x14ac:dyDescent="0.25">
      <c r="A3" s="33" t="s">
        <v>39</v>
      </c>
      <c r="C3" s="34" t="s">
        <v>40</v>
      </c>
      <c r="D3" s="34"/>
      <c r="E3" s="34" t="s">
        <v>41</v>
      </c>
      <c r="F3" s="34"/>
      <c r="H3" s="34" t="s">
        <v>42</v>
      </c>
      <c r="K3" s="35" t="s">
        <v>43</v>
      </c>
      <c r="L3">
        <f>C4*L1</f>
        <v>4.9000000000000004</v>
      </c>
    </row>
    <row r="4" spans="1:13" x14ac:dyDescent="0.25">
      <c r="C4" s="36">
        <f>QUALITY!H28</f>
        <v>4.9000000000000004</v>
      </c>
      <c r="D4" s="37"/>
      <c r="E4" s="37">
        <f>QUALITY!O28</f>
        <v>226</v>
      </c>
      <c r="F4" s="37"/>
      <c r="H4" s="37">
        <f>E4*C4</f>
        <v>1107.4000000000001</v>
      </c>
      <c r="K4" s="35" t="s">
        <v>44</v>
      </c>
      <c r="L4">
        <f>L3-L6</f>
        <v>4.9000000000000004</v>
      </c>
    </row>
    <row r="5" spans="1:13" x14ac:dyDescent="0.25">
      <c r="K5" s="35"/>
    </row>
    <row r="6" spans="1:13" x14ac:dyDescent="0.25">
      <c r="K6" s="35" t="s">
        <v>45</v>
      </c>
      <c r="L6" s="37">
        <v>0</v>
      </c>
    </row>
    <row r="7" spans="1:13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3" x14ac:dyDescent="0.25">
      <c r="A8" s="33" t="s">
        <v>46</v>
      </c>
    </row>
    <row r="10" spans="1:13" x14ac:dyDescent="0.25">
      <c r="A10" t="s">
        <v>137</v>
      </c>
      <c r="C10">
        <f>C4</f>
        <v>4.9000000000000004</v>
      </c>
      <c r="E10" s="37">
        <f>QUALITY!P28</f>
        <v>35.67</v>
      </c>
      <c r="H10" s="47">
        <f>E10*C10</f>
        <v>174.78300000000002</v>
      </c>
      <c r="K10" s="35" t="s">
        <v>47</v>
      </c>
      <c r="L10">
        <f>L4*E4</f>
        <v>1107.4000000000001</v>
      </c>
    </row>
    <row r="11" spans="1:13" x14ac:dyDescent="0.25">
      <c r="A11" t="s">
        <v>126</v>
      </c>
      <c r="C11">
        <f>C4</f>
        <v>4.9000000000000004</v>
      </c>
      <c r="E11" s="37">
        <v>0</v>
      </c>
      <c r="H11">
        <f>E11*C11</f>
        <v>0</v>
      </c>
      <c r="K11" s="35" t="s">
        <v>48</v>
      </c>
      <c r="L11">
        <f>L4*E15</f>
        <v>174.78300000000002</v>
      </c>
    </row>
    <row r="12" spans="1:13" x14ac:dyDescent="0.25">
      <c r="A12" t="s">
        <v>139</v>
      </c>
      <c r="C12">
        <f>C4</f>
        <v>4.9000000000000004</v>
      </c>
      <c r="E12" s="37">
        <v>0</v>
      </c>
      <c r="H12">
        <f>E12*C12</f>
        <v>0</v>
      </c>
      <c r="K12" s="35"/>
    </row>
    <row r="13" spans="1:13" x14ac:dyDescent="0.25">
      <c r="A13">
        <v>4</v>
      </c>
      <c r="C13">
        <f>C4</f>
        <v>4.9000000000000004</v>
      </c>
      <c r="E13" s="37">
        <v>0</v>
      </c>
      <c r="H13">
        <f>E13*C13</f>
        <v>0</v>
      </c>
      <c r="K13" s="35" t="s">
        <v>49</v>
      </c>
      <c r="L13">
        <f>L10-L11</f>
        <v>932.61700000000008</v>
      </c>
    </row>
    <row r="14" spans="1:13" x14ac:dyDescent="0.25">
      <c r="K14" s="35"/>
    </row>
    <row r="15" spans="1:13" x14ac:dyDescent="0.25">
      <c r="C15" s="33" t="s">
        <v>50</v>
      </c>
      <c r="E15">
        <f>SUM(E10:E13)</f>
        <v>35.67</v>
      </c>
      <c r="H15" s="47">
        <f>SUM(H10:H13)</f>
        <v>174.78300000000002</v>
      </c>
      <c r="K15" s="35" t="s">
        <v>51</v>
      </c>
      <c r="L15">
        <f>L13*M15</f>
        <v>932.61700000000008</v>
      </c>
      <c r="M15" s="38">
        <v>1</v>
      </c>
    </row>
    <row r="16" spans="1:13" x14ac:dyDescent="0.25">
      <c r="H16" s="47"/>
      <c r="K16" s="35" t="s">
        <v>52</v>
      </c>
      <c r="L16">
        <f>L13*M16</f>
        <v>0</v>
      </c>
      <c r="M16" s="38">
        <v>0</v>
      </c>
    </row>
    <row r="17" spans="1:13" x14ac:dyDescent="0.25">
      <c r="C17" s="33" t="s">
        <v>53</v>
      </c>
      <c r="E17">
        <f>E4-E15</f>
        <v>190.32999999999998</v>
      </c>
      <c r="H17" s="47">
        <f>H4-H15</f>
        <v>932.61700000000008</v>
      </c>
      <c r="K17" s="35" t="s">
        <v>54</v>
      </c>
      <c r="L17">
        <f>L13*M17</f>
        <v>0</v>
      </c>
      <c r="M17" s="38">
        <v>0</v>
      </c>
    </row>
    <row r="18" spans="1:13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20" spans="1:13" x14ac:dyDescent="0.25">
      <c r="A20" s="33" t="s">
        <v>55</v>
      </c>
      <c r="C20" s="34" t="s">
        <v>56</v>
      </c>
      <c r="D20" s="34" t="s">
        <v>57</v>
      </c>
      <c r="E20" s="34" t="s">
        <v>58</v>
      </c>
      <c r="F20" s="34" t="s">
        <v>57</v>
      </c>
      <c r="G20" s="34"/>
      <c r="H20" s="34" t="s">
        <v>59</v>
      </c>
    </row>
    <row r="22" spans="1:13" x14ac:dyDescent="0.25">
      <c r="A22" t="s">
        <v>60</v>
      </c>
      <c r="C22" s="37">
        <f>'COO BR'!C22</f>
        <v>68</v>
      </c>
      <c r="D22" t="s">
        <v>61</v>
      </c>
      <c r="E22" s="37">
        <f>E4/1000</f>
        <v>0.22600000000000001</v>
      </c>
      <c r="F22" t="s">
        <v>62</v>
      </c>
      <c r="H22">
        <f>C22*E22</f>
        <v>15.368</v>
      </c>
      <c r="I22" s="48"/>
      <c r="L22" s="39">
        <f>H22*$L$1</f>
        <v>15.368</v>
      </c>
    </row>
    <row r="23" spans="1:13" x14ac:dyDescent="0.25">
      <c r="A23" t="s">
        <v>63</v>
      </c>
      <c r="C23" s="37">
        <f>'COO BR'!C23</f>
        <v>70</v>
      </c>
      <c r="D23" t="s">
        <v>95</v>
      </c>
      <c r="E23" s="37">
        <f>'COO BR'!E23</f>
        <v>50</v>
      </c>
      <c r="F23" t="s">
        <v>70</v>
      </c>
      <c r="H23">
        <f>E23*C23/1000</f>
        <v>3.5</v>
      </c>
      <c r="L23" s="39">
        <f t="shared" ref="L23:L34" si="0">H23*$L$1</f>
        <v>3.5</v>
      </c>
    </row>
    <row r="24" spans="1:13" x14ac:dyDescent="0.25">
      <c r="A24" t="s">
        <v>64</v>
      </c>
      <c r="B24" s="40" t="str">
        <f>'COO BR'!B24</f>
        <v>DAP</v>
      </c>
      <c r="C24" s="37">
        <f>'COO BR'!C24</f>
        <v>100</v>
      </c>
      <c r="D24" t="s">
        <v>61</v>
      </c>
      <c r="E24" s="37">
        <f>'COO BR'!E24</f>
        <v>998</v>
      </c>
      <c r="F24" t="s">
        <v>65</v>
      </c>
      <c r="H24">
        <f>C24*E24/1000</f>
        <v>99.8</v>
      </c>
      <c r="L24" s="39">
        <f t="shared" si="0"/>
        <v>99.8</v>
      </c>
    </row>
    <row r="25" spans="1:13" x14ac:dyDescent="0.25">
      <c r="A25" t="s">
        <v>66</v>
      </c>
      <c r="B25" s="40" t="str">
        <f>'COO BR'!B25</f>
        <v>UAN</v>
      </c>
      <c r="C25" s="37">
        <v>50</v>
      </c>
      <c r="D25" t="s">
        <v>69</v>
      </c>
      <c r="E25" s="37">
        <f>'COO BR'!E25</f>
        <v>750</v>
      </c>
      <c r="F25" t="s">
        <v>133</v>
      </c>
      <c r="H25">
        <f>C25*E25/1000</f>
        <v>37.5</v>
      </c>
      <c r="L25" s="39">
        <f>H25*L1</f>
        <v>37.5</v>
      </c>
    </row>
    <row r="26" spans="1:13" x14ac:dyDescent="0.25">
      <c r="A26" t="s">
        <v>68</v>
      </c>
      <c r="B26" s="40" t="str">
        <f>'COO BR'!B26</f>
        <v>Ultramax</v>
      </c>
      <c r="C26" s="37">
        <f>'COO BR'!C26</f>
        <v>2</v>
      </c>
      <c r="D26" t="s">
        <v>69</v>
      </c>
      <c r="E26" s="37">
        <f>'COO BR'!E26</f>
        <v>8</v>
      </c>
      <c r="F26" t="s">
        <v>70</v>
      </c>
      <c r="H26">
        <f>E26*C26</f>
        <v>16</v>
      </c>
      <c r="L26" s="39">
        <f t="shared" si="0"/>
        <v>16</v>
      </c>
    </row>
    <row r="27" spans="1:13" x14ac:dyDescent="0.25">
      <c r="A27" t="s">
        <v>71</v>
      </c>
      <c r="B27" s="40" t="str">
        <f>'COO BR'!B27</f>
        <v>Striker</v>
      </c>
      <c r="C27" s="37">
        <f>'COO BR'!C27</f>
        <v>0.15</v>
      </c>
      <c r="D27" t="s">
        <v>69</v>
      </c>
      <c r="E27" s="37">
        <f>'COO BR'!E27</f>
        <v>50</v>
      </c>
      <c r="F27" t="s">
        <v>70</v>
      </c>
      <c r="H27">
        <f>E27*C27</f>
        <v>7.5</v>
      </c>
      <c r="L27" s="39">
        <f t="shared" si="0"/>
        <v>7.5</v>
      </c>
    </row>
    <row r="28" spans="1:13" x14ac:dyDescent="0.25">
      <c r="A28" t="s">
        <v>72</v>
      </c>
      <c r="B28" s="40" t="str">
        <f>'COO BR'!B28</f>
        <v>Jedi Duo</v>
      </c>
      <c r="C28" s="37">
        <f>'COO BR'!C28</f>
        <v>1.8</v>
      </c>
      <c r="D28" t="s">
        <v>69</v>
      </c>
      <c r="E28" s="37">
        <f>'COO BR'!E28</f>
        <v>20</v>
      </c>
      <c r="F28" t="s">
        <v>70</v>
      </c>
      <c r="H28">
        <f>E28*C28</f>
        <v>36</v>
      </c>
      <c r="L28" s="39">
        <f t="shared" si="0"/>
        <v>36</v>
      </c>
    </row>
    <row r="29" spans="1:13" x14ac:dyDescent="0.25">
      <c r="A29" t="s">
        <v>73</v>
      </c>
      <c r="B29" s="40" t="s">
        <v>134</v>
      </c>
      <c r="C29" s="37">
        <f>'COO BR'!C29</f>
        <v>0.5</v>
      </c>
      <c r="D29" t="s">
        <v>69</v>
      </c>
      <c r="E29" s="37">
        <f>'COO BR'!E29</f>
        <v>11</v>
      </c>
      <c r="F29" t="s">
        <v>70</v>
      </c>
      <c r="H29">
        <f>E29*C29</f>
        <v>5.5</v>
      </c>
      <c r="L29" s="39">
        <f t="shared" si="0"/>
        <v>5.5</v>
      </c>
    </row>
    <row r="30" spans="1:13" x14ac:dyDescent="0.25">
      <c r="A30" t="s">
        <v>74</v>
      </c>
      <c r="B30" s="40" t="str">
        <f>'COO BR'!B30</f>
        <v>Lontrel</v>
      </c>
      <c r="C30" s="37">
        <f>'COO BR'!C30</f>
        <v>0.125</v>
      </c>
      <c r="D30" t="s">
        <v>69</v>
      </c>
      <c r="E30" s="37">
        <f>'COO BR'!E30</f>
        <v>20</v>
      </c>
      <c r="F30" t="s">
        <v>70</v>
      </c>
      <c r="H30">
        <f t="shared" ref="H30:H31" si="1">E30*C30</f>
        <v>2.5</v>
      </c>
      <c r="L30" s="39">
        <f t="shared" si="0"/>
        <v>2.5</v>
      </c>
    </row>
    <row r="31" spans="1:13" x14ac:dyDescent="0.25">
      <c r="A31" t="s">
        <v>96</v>
      </c>
      <c r="B31" s="40" t="str">
        <f>'COO BR'!B31</f>
        <v>Tilt</v>
      </c>
      <c r="C31" s="37">
        <f>'COO BR'!C31</f>
        <v>0</v>
      </c>
      <c r="D31" t="s">
        <v>69</v>
      </c>
      <c r="E31" s="37">
        <f>'COO BR'!E31</f>
        <v>16</v>
      </c>
      <c r="F31" t="s">
        <v>70</v>
      </c>
      <c r="H31">
        <f t="shared" si="1"/>
        <v>0</v>
      </c>
      <c r="L31" s="39">
        <f t="shared" si="0"/>
        <v>0</v>
      </c>
    </row>
    <row r="32" spans="1:13" x14ac:dyDescent="0.25">
      <c r="A32" t="s">
        <v>75</v>
      </c>
      <c r="C32" s="41">
        <v>0.01</v>
      </c>
      <c r="E32" s="45"/>
      <c r="H32" s="42">
        <f>C32*H4</f>
        <v>11.074000000000002</v>
      </c>
      <c r="L32" s="39">
        <f t="shared" si="0"/>
        <v>11.074000000000002</v>
      </c>
    </row>
    <row r="33" spans="1:12" x14ac:dyDescent="0.25">
      <c r="A33" t="s">
        <v>76</v>
      </c>
      <c r="C33" s="43">
        <f>C13</f>
        <v>4.9000000000000004</v>
      </c>
      <c r="D33" t="s">
        <v>77</v>
      </c>
      <c r="E33" s="37">
        <v>0</v>
      </c>
      <c r="F33" t="s">
        <v>65</v>
      </c>
      <c r="H33" s="39">
        <f>E33*C33</f>
        <v>0</v>
      </c>
      <c r="L33" s="39">
        <f t="shared" si="0"/>
        <v>0</v>
      </c>
    </row>
    <row r="34" spans="1:12" x14ac:dyDescent="0.25">
      <c r="A34" t="s">
        <v>78</v>
      </c>
      <c r="C34" s="37">
        <v>9</v>
      </c>
      <c r="D34" t="s">
        <v>69</v>
      </c>
      <c r="E34" s="37">
        <f>[1]INPUT!I33</f>
        <v>1.5</v>
      </c>
      <c r="F34" t="s">
        <v>70</v>
      </c>
      <c r="H34">
        <f>E34*C34</f>
        <v>13.5</v>
      </c>
      <c r="L34" s="39">
        <f t="shared" si="0"/>
        <v>13.5</v>
      </c>
    </row>
    <row r="35" spans="1:12" x14ac:dyDescent="0.25">
      <c r="C35" s="44"/>
      <c r="E35" s="45"/>
      <c r="L35" s="39"/>
    </row>
    <row r="36" spans="1:12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8" spans="1:12" x14ac:dyDescent="0.25">
      <c r="F38" s="46" t="s">
        <v>79</v>
      </c>
      <c r="H38" s="47">
        <f>SUM(H22:H36)</f>
        <v>248.24200000000002</v>
      </c>
      <c r="K38" s="46" t="s">
        <v>80</v>
      </c>
      <c r="L38" s="39">
        <f>SUM(L22:L37)</f>
        <v>248.24200000000002</v>
      </c>
    </row>
    <row r="39" spans="1:12" x14ac:dyDescent="0.25">
      <c r="H39" s="47"/>
      <c r="K39" s="46"/>
      <c r="L39" s="39"/>
    </row>
    <row r="40" spans="1:12" x14ac:dyDescent="0.25">
      <c r="H40" s="47"/>
      <c r="K40" s="46" t="s">
        <v>81</v>
      </c>
      <c r="L40" s="39">
        <f>L13-L38</f>
        <v>684.375</v>
      </c>
    </row>
    <row r="41" spans="1:12" x14ac:dyDescent="0.25">
      <c r="H41" s="47"/>
      <c r="K41" s="46" t="s">
        <v>82</v>
      </c>
      <c r="L41" s="39">
        <f>L6*E17</f>
        <v>0</v>
      </c>
    </row>
    <row r="42" spans="1:12" x14ac:dyDescent="0.25">
      <c r="H42" s="47"/>
      <c r="K42" s="46"/>
      <c r="L42" s="39"/>
    </row>
    <row r="43" spans="1:12" x14ac:dyDescent="0.25">
      <c r="F43" s="46" t="s">
        <v>83</v>
      </c>
      <c r="H43" s="47">
        <f>H17-H38</f>
        <v>684.375</v>
      </c>
      <c r="K43" s="46" t="s">
        <v>84</v>
      </c>
      <c r="L43" s="39">
        <f>L40+L41</f>
        <v>684.375</v>
      </c>
    </row>
    <row r="44" spans="1:12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6" spans="1:12" x14ac:dyDescent="0.25">
      <c r="A46" s="33" t="s">
        <v>85</v>
      </c>
      <c r="C46" s="47">
        <f>H38/E4</f>
        <v>1.0984159292035398</v>
      </c>
    </row>
    <row r="47" spans="1:12" x14ac:dyDescent="0.25">
      <c r="C47" s="47"/>
    </row>
    <row r="48" spans="1:12" x14ac:dyDescent="0.25">
      <c r="A48" s="33" t="s">
        <v>86</v>
      </c>
      <c r="C48" s="47">
        <f>H38/C4</f>
        <v>50.661632653061226</v>
      </c>
    </row>
    <row r="49" spans="1:12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1" spans="1:12" x14ac:dyDescent="0.25">
      <c r="A51" s="33" t="s">
        <v>87</v>
      </c>
      <c r="E51" s="35" t="s">
        <v>88</v>
      </c>
      <c r="F51" s="50">
        <f>H38</f>
        <v>248.24200000000002</v>
      </c>
      <c r="G51" t="s">
        <v>89</v>
      </c>
    </row>
    <row r="53" spans="1:12" x14ac:dyDescent="0.25">
      <c r="A53" t="s">
        <v>101</v>
      </c>
      <c r="C53" s="37"/>
    </row>
    <row r="54" spans="1:12" x14ac:dyDescent="0.25">
      <c r="A54" t="s">
        <v>106</v>
      </c>
      <c r="C54" s="37"/>
    </row>
    <row r="55" spans="1:12" x14ac:dyDescent="0.25">
      <c r="E55" s="34" t="s">
        <v>91</v>
      </c>
    </row>
    <row r="56" spans="1:12" x14ac:dyDescent="0.25">
      <c r="C56" s="46" t="s">
        <v>90</v>
      </c>
      <c r="D56" s="33">
        <f>MIN(QUALITY!$O$28:$O$31)</f>
        <v>201</v>
      </c>
      <c r="E56" s="33">
        <f>AVERAGE(QUALITY!$O$28:$O$31)</f>
        <v>219.75</v>
      </c>
      <c r="F56" s="33">
        <f>MAX(QUALITY!$O$28:$O$31)</f>
        <v>226</v>
      </c>
    </row>
    <row r="57" spans="1:12" x14ac:dyDescent="0.25">
      <c r="A57" s="33" t="s">
        <v>92</v>
      </c>
      <c r="C57" s="33">
        <f>MAX(QUALITY!$H$28:$H$31)</f>
        <v>4.9000000000000004</v>
      </c>
      <c r="D57" s="39">
        <f>C57*(D56-$E$15)-$H$38</f>
        <v>561.875</v>
      </c>
      <c r="E57" s="39">
        <f>C57*(E56-$E$15)-$H$38</f>
        <v>653.75</v>
      </c>
      <c r="F57" s="39">
        <f>C57*(F56-$E$15)-$H$38</f>
        <v>684.375</v>
      </c>
    </row>
    <row r="58" spans="1:12" x14ac:dyDescent="0.25">
      <c r="A58" s="33" t="s">
        <v>93</v>
      </c>
      <c r="C58" s="33">
        <f>AVERAGE(QUALITY!$H$28:$H$31)</f>
        <v>4.2750000000000004</v>
      </c>
      <c r="D58" s="39">
        <f>C58*(D56-$E$15)-$H$38</f>
        <v>458.54374999999999</v>
      </c>
      <c r="E58" s="39">
        <f>C58*(E56-$E$15)-$H$38</f>
        <v>538.70000000000005</v>
      </c>
      <c r="F58" s="39">
        <f>C58*(F56-$E$15)-$H$38</f>
        <v>565.41875000000005</v>
      </c>
    </row>
    <row r="59" spans="1:12" x14ac:dyDescent="0.25">
      <c r="A59" s="33" t="s">
        <v>94</v>
      </c>
      <c r="C59" s="33">
        <f>MIN(QUALITY!$H$28:$H$31)</f>
        <v>3.8</v>
      </c>
      <c r="D59" s="39">
        <f>C59*(D56-$E$15)-$H$38</f>
        <v>380.01199999999989</v>
      </c>
      <c r="E59" s="39">
        <f>C59*(E56-$E$15)-$H$38</f>
        <v>451.26199999999989</v>
      </c>
      <c r="F59" s="39">
        <f>C59*(F56-$E$15)-$H$38</f>
        <v>475.01199999999989</v>
      </c>
    </row>
    <row r="60" spans="1:12" x14ac:dyDescent="0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</row>
  </sheetData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QUALITY</vt:lpstr>
      <vt:lpstr>RESULTS</vt:lpstr>
      <vt:lpstr>COO BR</vt:lpstr>
      <vt:lpstr>COO DR</vt:lpstr>
      <vt:lpstr>RAC BR</vt:lpstr>
      <vt:lpstr>RAC DR</vt:lpstr>
      <vt:lpstr>SAN BR</vt:lpstr>
      <vt:lpstr>SAN DR</vt:lpstr>
      <vt:lpstr>WJ BR</vt:lpstr>
      <vt:lpstr>WJ DR</vt:lpstr>
      <vt:lpstr>YEE BR</vt:lpstr>
      <vt:lpstr>YEE DR</vt:lpstr>
    </vt:vector>
  </TitlesOfParts>
  <Company>The University of Adelaide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Alistair Pearce</dc:creator>
  <cp:lastModifiedBy>Jason Able</cp:lastModifiedBy>
  <cp:lastPrinted>2016-01-24T12:04:54Z</cp:lastPrinted>
  <dcterms:created xsi:type="dcterms:W3CDTF">2016-01-19T23:19:27Z</dcterms:created>
  <dcterms:modified xsi:type="dcterms:W3CDTF">2017-01-24T02:43:30Z</dcterms:modified>
</cp:coreProperties>
</file>