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ofa\users$\users1\a1088981\My Documents\Durum\Pre-Breeding Ideas\SAGIT 2015\UA415 2015-2016 Progress Report\"/>
    </mc:Choice>
  </mc:AlternateContent>
  <workbookProtection workbookAlgorithmName="SHA-512" workbookHashValue="P0WnJO4NcE2ZIErggl2CrXru0Grn2Z1GlhkH7BnROM4FhKD460azEdbT4I9j+wsqrkZbidR0s2ag36S5MBW+WQ==" workbookSaltValue="t53iLLXKW/pPbSdkDCn9tA==" workbookSpinCount="100000" lockStructure="1"/>
  <bookViews>
    <workbookView xWindow="7395" yWindow="-105" windowWidth="11910" windowHeight="8025"/>
  </bookViews>
  <sheets>
    <sheet name="QUALITY" sheetId="1" r:id="rId1"/>
    <sheet name="RESULTS" sheetId="2" r:id="rId2"/>
    <sheet name="COO BR" sheetId="3" r:id="rId3"/>
    <sheet name="COO DR" sheetId="4" r:id="rId4"/>
    <sheet name="RAC BR" sheetId="5" r:id="rId5"/>
    <sheet name="RAC DR" sheetId="6" r:id="rId6"/>
    <sheet name="SAN BR" sheetId="7" r:id="rId7"/>
    <sheet name="SAN DR" sheetId="8" r:id="rId8"/>
    <sheet name="WJ BR" sheetId="9" r:id="rId9"/>
    <sheet name="WJ DR" sheetId="10" r:id="rId10"/>
    <sheet name="YEE BR" sheetId="11" r:id="rId11"/>
    <sheet name="YEE DR" sheetId="12" r:id="rId12"/>
    <sheet name="Sheet10" sheetId="13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F55" i="12" l="1"/>
  <c r="E55" i="12"/>
  <c r="D55" i="12"/>
  <c r="C56" i="12"/>
  <c r="C57" i="12"/>
  <c r="C58" i="12"/>
  <c r="C25" i="12"/>
  <c r="C26" i="12"/>
  <c r="C27" i="12"/>
  <c r="H27" i="12" s="1"/>
  <c r="L27" i="12" s="1"/>
  <c r="C28" i="12"/>
  <c r="H28" i="12" s="1"/>
  <c r="L28" i="12" s="1"/>
  <c r="C29" i="12"/>
  <c r="C30" i="12"/>
  <c r="C24" i="12"/>
  <c r="E23" i="12"/>
  <c r="E24" i="12"/>
  <c r="E25" i="12"/>
  <c r="H25" i="12" s="1"/>
  <c r="L25" i="12" s="1"/>
  <c r="E26" i="12"/>
  <c r="H26" i="12" s="1"/>
  <c r="L26" i="12" s="1"/>
  <c r="E27" i="12"/>
  <c r="E28" i="12"/>
  <c r="E29" i="12"/>
  <c r="H29" i="12" s="1"/>
  <c r="L29" i="12" s="1"/>
  <c r="E30" i="12"/>
  <c r="H30" i="12" s="1"/>
  <c r="L30" i="12" s="1"/>
  <c r="E33" i="12"/>
  <c r="C33" i="12"/>
  <c r="B25" i="12"/>
  <c r="B26" i="12"/>
  <c r="B27" i="12"/>
  <c r="B28" i="12"/>
  <c r="B29" i="12"/>
  <c r="B30" i="12"/>
  <c r="B24" i="12"/>
  <c r="E10" i="12"/>
  <c r="E4" i="12"/>
  <c r="C4" i="12"/>
  <c r="L3" i="12" s="1"/>
  <c r="L4" i="12" s="1"/>
  <c r="G1" i="12"/>
  <c r="F56" i="11"/>
  <c r="E56" i="11"/>
  <c r="D56" i="11"/>
  <c r="C57" i="11"/>
  <c r="C58" i="11"/>
  <c r="C59" i="11"/>
  <c r="E34" i="11"/>
  <c r="E24" i="11"/>
  <c r="E25" i="11"/>
  <c r="E26" i="11"/>
  <c r="E27" i="11"/>
  <c r="E28" i="11"/>
  <c r="H28" i="11" s="1"/>
  <c r="L28" i="11" s="1"/>
  <c r="E29" i="11"/>
  <c r="H29" i="11" s="1"/>
  <c r="L29" i="11" s="1"/>
  <c r="E30" i="11"/>
  <c r="E31" i="11"/>
  <c r="E23" i="11"/>
  <c r="H23" i="11" s="1"/>
  <c r="L23" i="11" s="1"/>
  <c r="H25" i="11"/>
  <c r="L25" i="11" s="1"/>
  <c r="C23" i="11"/>
  <c r="C24" i="11"/>
  <c r="C25" i="11"/>
  <c r="C26" i="11"/>
  <c r="C27" i="11"/>
  <c r="C28" i="11"/>
  <c r="C29" i="11"/>
  <c r="C30" i="11"/>
  <c r="C31" i="11"/>
  <c r="C34" i="11"/>
  <c r="B25" i="11"/>
  <c r="B26" i="11"/>
  <c r="B27" i="11"/>
  <c r="B28" i="11"/>
  <c r="B29" i="11"/>
  <c r="B30" i="11"/>
  <c r="B31" i="11"/>
  <c r="B24" i="11"/>
  <c r="E10" i="11"/>
  <c r="E15" i="11" s="1"/>
  <c r="E17" i="11" s="1"/>
  <c r="L41" i="11" s="1"/>
  <c r="E4" i="11"/>
  <c r="E22" i="11" s="1"/>
  <c r="H22" i="11" s="1"/>
  <c r="C4" i="11"/>
  <c r="G1" i="11"/>
  <c r="F55" i="10"/>
  <c r="E55" i="10"/>
  <c r="D55" i="10"/>
  <c r="C56" i="10"/>
  <c r="C57" i="10"/>
  <c r="C58" i="10"/>
  <c r="C27" i="10"/>
  <c r="C28" i="10"/>
  <c r="C29" i="10"/>
  <c r="C30" i="10"/>
  <c r="C26" i="10"/>
  <c r="H25" i="10"/>
  <c r="E23" i="10"/>
  <c r="E24" i="10"/>
  <c r="E25" i="10"/>
  <c r="E26" i="10"/>
  <c r="E27" i="10"/>
  <c r="E28" i="10"/>
  <c r="H28" i="10" s="1"/>
  <c r="L28" i="10" s="1"/>
  <c r="E29" i="10"/>
  <c r="H29" i="10" s="1"/>
  <c r="L29" i="10" s="1"/>
  <c r="E22" i="10"/>
  <c r="H23" i="10"/>
  <c r="L23" i="10" s="1"/>
  <c r="E30" i="10"/>
  <c r="H30" i="10" s="1"/>
  <c r="L30" i="10" s="1"/>
  <c r="E33" i="10"/>
  <c r="C33" i="10"/>
  <c r="B25" i="10"/>
  <c r="B26" i="10"/>
  <c r="B27" i="10"/>
  <c r="B28" i="10"/>
  <c r="B29" i="10"/>
  <c r="B30" i="10"/>
  <c r="B24" i="10"/>
  <c r="E10" i="10"/>
  <c r="E4" i="10"/>
  <c r="C4" i="10"/>
  <c r="L3" i="10" s="1"/>
  <c r="L4" i="10" s="1"/>
  <c r="G1" i="10"/>
  <c r="F56" i="9"/>
  <c r="E56" i="9"/>
  <c r="D56" i="9"/>
  <c r="C57" i="9"/>
  <c r="C58" i="9"/>
  <c r="C59" i="9"/>
  <c r="E24" i="9"/>
  <c r="E25" i="9"/>
  <c r="E26" i="9"/>
  <c r="E27" i="9"/>
  <c r="E28" i="9"/>
  <c r="E29" i="9"/>
  <c r="E30" i="9"/>
  <c r="H30" i="9" s="1"/>
  <c r="L30" i="9" s="1"/>
  <c r="E31" i="9"/>
  <c r="E23" i="9"/>
  <c r="H23" i="9" s="1"/>
  <c r="L23" i="9" s="1"/>
  <c r="C23" i="9"/>
  <c r="C24" i="9"/>
  <c r="C25" i="9"/>
  <c r="H25" i="9" s="1"/>
  <c r="L25" i="9" s="1"/>
  <c r="C26" i="9"/>
  <c r="C27" i="9"/>
  <c r="C28" i="9"/>
  <c r="C29" i="9"/>
  <c r="C30" i="9"/>
  <c r="C31" i="9"/>
  <c r="C22" i="9"/>
  <c r="B25" i="9"/>
  <c r="B26" i="9"/>
  <c r="B27" i="9"/>
  <c r="B28" i="9"/>
  <c r="B30" i="9"/>
  <c r="B31" i="9"/>
  <c r="B24" i="9"/>
  <c r="E10" i="9"/>
  <c r="E4" i="9"/>
  <c r="C4" i="9"/>
  <c r="C24" i="8"/>
  <c r="C25" i="8"/>
  <c r="C26" i="8"/>
  <c r="C27" i="8"/>
  <c r="C28" i="8"/>
  <c r="C29" i="8"/>
  <c r="C30" i="8"/>
  <c r="C22" i="8"/>
  <c r="E23" i="8"/>
  <c r="H23" i="8" s="1"/>
  <c r="L23" i="8" s="1"/>
  <c r="E24" i="8"/>
  <c r="G1" i="9"/>
  <c r="F55" i="8"/>
  <c r="E55" i="8"/>
  <c r="D55" i="8"/>
  <c r="C56" i="8"/>
  <c r="C57" i="8"/>
  <c r="C58" i="8"/>
  <c r="E25" i="8"/>
  <c r="E26" i="8"/>
  <c r="E27" i="8"/>
  <c r="H27" i="8" s="1"/>
  <c r="L27" i="8" s="1"/>
  <c r="E28" i="8"/>
  <c r="H28" i="8" s="1"/>
  <c r="L28" i="8" s="1"/>
  <c r="E29" i="8"/>
  <c r="E30" i="8"/>
  <c r="E33" i="8"/>
  <c r="H25" i="8"/>
  <c r="L25" i="8" s="1"/>
  <c r="E10" i="8"/>
  <c r="E4" i="8"/>
  <c r="G1" i="8"/>
  <c r="F56" i="7"/>
  <c r="E56" i="7"/>
  <c r="D56" i="7"/>
  <c r="C57" i="7"/>
  <c r="C58" i="7"/>
  <c r="C59" i="7"/>
  <c r="E24" i="7"/>
  <c r="H24" i="7" s="1"/>
  <c r="L24" i="7" s="1"/>
  <c r="E25" i="7"/>
  <c r="E26" i="7"/>
  <c r="H26" i="7" s="1"/>
  <c r="L26" i="7" s="1"/>
  <c r="E27" i="7"/>
  <c r="E28" i="7"/>
  <c r="E29" i="7"/>
  <c r="E30" i="7"/>
  <c r="E31" i="7"/>
  <c r="H31" i="7" s="1"/>
  <c r="L31" i="7" s="1"/>
  <c r="E33" i="7"/>
  <c r="E34" i="7"/>
  <c r="E23" i="7"/>
  <c r="H23" i="7" s="1"/>
  <c r="L23" i="7" s="1"/>
  <c r="B25" i="7"/>
  <c r="B26" i="7"/>
  <c r="B27" i="7"/>
  <c r="B28" i="7"/>
  <c r="B29" i="7"/>
  <c r="B30" i="7"/>
  <c r="B31" i="7"/>
  <c r="B24" i="7"/>
  <c r="C34" i="7"/>
  <c r="C24" i="7"/>
  <c r="C25" i="7"/>
  <c r="H25" i="7" s="1"/>
  <c r="L25" i="7" s="1"/>
  <c r="C26" i="7"/>
  <c r="C27" i="7"/>
  <c r="C28" i="7"/>
  <c r="C29" i="7"/>
  <c r="C30" i="7"/>
  <c r="C23" i="7"/>
  <c r="E10" i="7"/>
  <c r="E4" i="7"/>
  <c r="C4" i="7"/>
  <c r="C13" i="7" s="1"/>
  <c r="C33" i="7" s="1"/>
  <c r="G1" i="7"/>
  <c r="E56" i="6"/>
  <c r="F56" i="6"/>
  <c r="D56" i="6"/>
  <c r="C58" i="6"/>
  <c r="C57" i="6"/>
  <c r="C59" i="6"/>
  <c r="E23" i="6"/>
  <c r="E24" i="6"/>
  <c r="E25" i="6"/>
  <c r="H25" i="6" s="1"/>
  <c r="L25" i="6" s="1"/>
  <c r="E26" i="6"/>
  <c r="E27" i="6"/>
  <c r="E28" i="6"/>
  <c r="E29" i="6"/>
  <c r="E30" i="6"/>
  <c r="E31" i="6"/>
  <c r="E34" i="6"/>
  <c r="C31" i="6"/>
  <c r="H31" i="6" s="1"/>
  <c r="L31" i="6" s="1"/>
  <c r="C27" i="6"/>
  <c r="C28" i="6"/>
  <c r="C29" i="6"/>
  <c r="C30" i="6"/>
  <c r="C26" i="6"/>
  <c r="E10" i="6"/>
  <c r="E15" i="6" s="1"/>
  <c r="E4" i="6"/>
  <c r="G1" i="6"/>
  <c r="E31" i="5"/>
  <c r="E56" i="5"/>
  <c r="F56" i="5"/>
  <c r="D56" i="5"/>
  <c r="C58" i="5"/>
  <c r="C57" i="5"/>
  <c r="C59" i="5"/>
  <c r="E24" i="5"/>
  <c r="E34" i="5"/>
  <c r="E30" i="5"/>
  <c r="H30" i="5" s="1"/>
  <c r="L30" i="5" s="1"/>
  <c r="E28" i="5"/>
  <c r="H28" i="5" s="1"/>
  <c r="L28" i="5" s="1"/>
  <c r="E27" i="5"/>
  <c r="H27" i="5" s="1"/>
  <c r="L27" i="5" s="1"/>
  <c r="E26" i="5"/>
  <c r="H26" i="5" s="1"/>
  <c r="L26" i="5" s="1"/>
  <c r="H25" i="5"/>
  <c r="L25" i="5" s="1"/>
  <c r="H25" i="3"/>
  <c r="E25" i="5"/>
  <c r="E23" i="5"/>
  <c r="H23" i="5" s="1"/>
  <c r="L23" i="5" s="1"/>
  <c r="E10" i="5"/>
  <c r="E4" i="5"/>
  <c r="C4" i="5"/>
  <c r="C11" i="5" s="1"/>
  <c r="C12" i="5"/>
  <c r="G1" i="5"/>
  <c r="F55" i="4"/>
  <c r="E55" i="4"/>
  <c r="D55" i="4"/>
  <c r="C57" i="4"/>
  <c r="C58" i="4"/>
  <c r="C56" i="4"/>
  <c r="E33" i="4"/>
  <c r="E30" i="4"/>
  <c r="H30" i="4" s="1"/>
  <c r="L30" i="4" s="1"/>
  <c r="E29" i="4"/>
  <c r="E28" i="4"/>
  <c r="E27" i="4"/>
  <c r="E26" i="4"/>
  <c r="E25" i="4"/>
  <c r="H25" i="4" s="1"/>
  <c r="L25" i="4" s="1"/>
  <c r="E24" i="4"/>
  <c r="E10" i="4"/>
  <c r="E15" i="4" s="1"/>
  <c r="E4" i="4"/>
  <c r="C4" i="4"/>
  <c r="L3" i="4" s="1"/>
  <c r="L4" i="4" s="1"/>
  <c r="E10" i="3"/>
  <c r="E56" i="3"/>
  <c r="F56" i="3"/>
  <c r="D56" i="3"/>
  <c r="C58" i="3"/>
  <c r="C59" i="3"/>
  <c r="C57" i="3"/>
  <c r="E4" i="3"/>
  <c r="E22" i="3" s="1"/>
  <c r="C4" i="3"/>
  <c r="C33" i="3" s="1"/>
  <c r="G1" i="4"/>
  <c r="G1" i="3"/>
  <c r="H34" i="11"/>
  <c r="L34" i="11" s="1"/>
  <c r="H33" i="11"/>
  <c r="L33" i="11" s="1"/>
  <c r="H24" i="11"/>
  <c r="L24" i="11" s="1"/>
  <c r="C13" i="11"/>
  <c r="C33" i="11" s="1"/>
  <c r="C12" i="11"/>
  <c r="C11" i="11"/>
  <c r="L3" i="11"/>
  <c r="L4" i="11" s="1"/>
  <c r="H34" i="9"/>
  <c r="L34" i="9" s="1"/>
  <c r="E34" i="9"/>
  <c r="H28" i="9"/>
  <c r="L28" i="9" s="1"/>
  <c r="H24" i="9"/>
  <c r="L24" i="9" s="1"/>
  <c r="E22" i="9"/>
  <c r="C13" i="9"/>
  <c r="C33" i="9" s="1"/>
  <c r="C12" i="9"/>
  <c r="C11" i="9"/>
  <c r="L3" i="9"/>
  <c r="L4" i="9" s="1"/>
  <c r="H34" i="7"/>
  <c r="L34" i="7" s="1"/>
  <c r="H28" i="7"/>
  <c r="L28" i="7" s="1"/>
  <c r="E22" i="7"/>
  <c r="H22" i="7" s="1"/>
  <c r="L3" i="7"/>
  <c r="L4" i="7" s="1"/>
  <c r="H34" i="5"/>
  <c r="L34" i="5" s="1"/>
  <c r="H31" i="5"/>
  <c r="L31" i="5" s="1"/>
  <c r="H29" i="5"/>
  <c r="L29" i="5" s="1"/>
  <c r="H24" i="5"/>
  <c r="L24" i="5" s="1"/>
  <c r="E22" i="5"/>
  <c r="H22" i="5" s="1"/>
  <c r="C13" i="5"/>
  <c r="C33" i="5" s="1"/>
  <c r="H34" i="3"/>
  <c r="L34" i="3" s="1"/>
  <c r="H31" i="3"/>
  <c r="L31" i="3" s="1"/>
  <c r="H30" i="3"/>
  <c r="L30" i="3" s="1"/>
  <c r="H29" i="3"/>
  <c r="L29" i="3" s="1"/>
  <c r="H28" i="3"/>
  <c r="L28" i="3" s="1"/>
  <c r="H27" i="3"/>
  <c r="L27" i="3" s="1"/>
  <c r="H26" i="3"/>
  <c r="L26" i="3" s="1"/>
  <c r="L25" i="3"/>
  <c r="H24" i="3"/>
  <c r="L24" i="3" s="1"/>
  <c r="H23" i="3"/>
  <c r="L23" i="3" s="1"/>
  <c r="L3" i="3"/>
  <c r="L4" i="3" s="1"/>
  <c r="H33" i="12"/>
  <c r="L33" i="12" s="1"/>
  <c r="H23" i="12"/>
  <c r="L23" i="12" s="1"/>
  <c r="E15" i="12"/>
  <c r="H33" i="10"/>
  <c r="L33" i="10" s="1"/>
  <c r="H27" i="10"/>
  <c r="L27" i="10" s="1"/>
  <c r="H24" i="10"/>
  <c r="L24" i="10" s="1"/>
  <c r="E15" i="10"/>
  <c r="H33" i="8"/>
  <c r="L33" i="8" s="1"/>
  <c r="H29" i="8"/>
  <c r="L29" i="8" s="1"/>
  <c r="E15" i="8"/>
  <c r="E22" i="8"/>
  <c r="H22" i="8" s="1"/>
  <c r="C34" i="6"/>
  <c r="C32" i="6"/>
  <c r="H27" i="6"/>
  <c r="L27" i="6" s="1"/>
  <c r="H24" i="6"/>
  <c r="L24" i="6" s="1"/>
  <c r="C23" i="6"/>
  <c r="H28" i="4"/>
  <c r="L28" i="4" s="1"/>
  <c r="H26" i="4"/>
  <c r="L26" i="4" s="1"/>
  <c r="H24" i="4"/>
  <c r="L24" i="4" s="1"/>
  <c r="E22" i="6" l="1"/>
  <c r="H22" i="3"/>
  <c r="C11" i="3"/>
  <c r="C11" i="7"/>
  <c r="H13" i="11"/>
  <c r="H34" i="6"/>
  <c r="L34" i="6" s="1"/>
  <c r="C13" i="3"/>
  <c r="H13" i="3" s="1"/>
  <c r="C12" i="7"/>
  <c r="H12" i="7" s="1"/>
  <c r="H26" i="8"/>
  <c r="L26" i="8" s="1"/>
  <c r="H30" i="7"/>
  <c r="L30" i="7" s="1"/>
  <c r="L25" i="10"/>
  <c r="H22" i="9"/>
  <c r="L22" i="9" s="1"/>
  <c r="H28" i="6"/>
  <c r="L28" i="6" s="1"/>
  <c r="H29" i="6"/>
  <c r="L29" i="6" s="1"/>
  <c r="H24" i="8"/>
  <c r="L24" i="8" s="1"/>
  <c r="H27" i="9"/>
  <c r="L27" i="9" s="1"/>
  <c r="H26" i="11"/>
  <c r="L26" i="11" s="1"/>
  <c r="H24" i="12"/>
  <c r="L24" i="12" s="1"/>
  <c r="H27" i="11"/>
  <c r="L27" i="11" s="1"/>
  <c r="H30" i="11"/>
  <c r="L30" i="11" s="1"/>
  <c r="H31" i="11"/>
  <c r="L31" i="11" s="1"/>
  <c r="H12" i="11"/>
  <c r="H26" i="10"/>
  <c r="L26" i="10" s="1"/>
  <c r="H31" i="9"/>
  <c r="L31" i="9" s="1"/>
  <c r="H26" i="9"/>
  <c r="L26" i="9" s="1"/>
  <c r="H29" i="9"/>
  <c r="L29" i="9" s="1"/>
  <c r="H13" i="9"/>
  <c r="H12" i="9"/>
  <c r="H33" i="9"/>
  <c r="L33" i="9" s="1"/>
  <c r="H30" i="8"/>
  <c r="L30" i="8" s="1"/>
  <c r="H27" i="7"/>
  <c r="L27" i="7" s="1"/>
  <c r="H29" i="7"/>
  <c r="L29" i="7" s="1"/>
  <c r="E15" i="7"/>
  <c r="E17" i="7" s="1"/>
  <c r="L41" i="7" s="1"/>
  <c r="H33" i="7"/>
  <c r="L33" i="7" s="1"/>
  <c r="H13" i="7"/>
  <c r="H23" i="6"/>
  <c r="L23" i="6" s="1"/>
  <c r="H30" i="6"/>
  <c r="L30" i="6" s="1"/>
  <c r="H26" i="6"/>
  <c r="L26" i="6" s="1"/>
  <c r="H12" i="5"/>
  <c r="L3" i="5"/>
  <c r="L4" i="5" s="1"/>
  <c r="L10" i="5" s="1"/>
  <c r="H13" i="5"/>
  <c r="H33" i="5"/>
  <c r="L33" i="5" s="1"/>
  <c r="H33" i="4"/>
  <c r="L33" i="4" s="1"/>
  <c r="H29" i="4"/>
  <c r="L29" i="4" s="1"/>
  <c r="H23" i="4"/>
  <c r="L23" i="4" s="1"/>
  <c r="H27" i="4"/>
  <c r="L27" i="4" s="1"/>
  <c r="H4" i="4"/>
  <c r="H31" i="4" s="1"/>
  <c r="L31" i="4" s="1"/>
  <c r="C12" i="3"/>
  <c r="H12" i="3" s="1"/>
  <c r="L11" i="11"/>
  <c r="L10" i="11"/>
  <c r="H11" i="11"/>
  <c r="L22" i="11"/>
  <c r="C10" i="11"/>
  <c r="H10" i="11" s="1"/>
  <c r="H4" i="11"/>
  <c r="H11" i="9"/>
  <c r="L10" i="9"/>
  <c r="E15" i="9"/>
  <c r="E17" i="9" s="1"/>
  <c r="L41" i="9" s="1"/>
  <c r="C10" i="9"/>
  <c r="H10" i="9" s="1"/>
  <c r="H4" i="9"/>
  <c r="L10" i="7"/>
  <c r="H11" i="7"/>
  <c r="L22" i="7"/>
  <c r="C10" i="7"/>
  <c r="H10" i="7" s="1"/>
  <c r="H4" i="7"/>
  <c r="H11" i="5"/>
  <c r="E15" i="5"/>
  <c r="E17" i="5" s="1"/>
  <c r="L41" i="5" s="1"/>
  <c r="L22" i="5"/>
  <c r="C10" i="5"/>
  <c r="H10" i="5" s="1"/>
  <c r="H4" i="5"/>
  <c r="L10" i="3"/>
  <c r="H11" i="3"/>
  <c r="H33" i="3"/>
  <c r="L33" i="3" s="1"/>
  <c r="E15" i="3"/>
  <c r="E17" i="3" s="1"/>
  <c r="L41" i="3" s="1"/>
  <c r="L22" i="3"/>
  <c r="C10" i="3"/>
  <c r="H10" i="3" s="1"/>
  <c r="H4" i="3"/>
  <c r="L11" i="12"/>
  <c r="L10" i="12"/>
  <c r="C10" i="12"/>
  <c r="H10" i="12" s="1"/>
  <c r="E17" i="12"/>
  <c r="L40" i="12" s="1"/>
  <c r="E22" i="12"/>
  <c r="H22" i="12" s="1"/>
  <c r="H4" i="12"/>
  <c r="C13" i="12"/>
  <c r="C12" i="12"/>
  <c r="H12" i="12" s="1"/>
  <c r="C11" i="12"/>
  <c r="H11" i="12" s="1"/>
  <c r="L11" i="10"/>
  <c r="L10" i="10"/>
  <c r="L13" i="10" s="1"/>
  <c r="C10" i="10"/>
  <c r="H10" i="10" s="1"/>
  <c r="C11" i="10"/>
  <c r="H11" i="10" s="1"/>
  <c r="E17" i="10"/>
  <c r="L40" i="10" s="1"/>
  <c r="H22" i="10"/>
  <c r="H4" i="10"/>
  <c r="C13" i="10"/>
  <c r="C12" i="10"/>
  <c r="H12" i="10" s="1"/>
  <c r="L22" i="8"/>
  <c r="E17" i="8"/>
  <c r="L40" i="8" s="1"/>
  <c r="E17" i="6"/>
  <c r="L41" i="6" s="1"/>
  <c r="H22" i="6"/>
  <c r="L11" i="4"/>
  <c r="L10" i="4"/>
  <c r="C12" i="4"/>
  <c r="H12" i="4" s="1"/>
  <c r="C10" i="4"/>
  <c r="H10" i="4" s="1"/>
  <c r="C11" i="4"/>
  <c r="H11" i="4" s="1"/>
  <c r="E17" i="4"/>
  <c r="L40" i="4" s="1"/>
  <c r="E22" i="4"/>
  <c r="H22" i="4" s="1"/>
  <c r="C13" i="4"/>
  <c r="Q5" i="1"/>
  <c r="Q6" i="1"/>
  <c r="Q7" i="1"/>
  <c r="Q8" i="1"/>
  <c r="Q9" i="1"/>
  <c r="Q10" i="1"/>
  <c r="Q11" i="1"/>
  <c r="Q12" i="1"/>
  <c r="Q13" i="1"/>
  <c r="Q14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" i="1"/>
  <c r="L16" i="1"/>
  <c r="L17" i="1"/>
  <c r="L18" i="1"/>
  <c r="L19" i="1"/>
  <c r="L24" i="1"/>
  <c r="L25" i="1"/>
  <c r="L26" i="1"/>
  <c r="L27" i="1"/>
  <c r="L32" i="1"/>
  <c r="L33" i="1"/>
  <c r="L34" i="1"/>
  <c r="L35" i="1"/>
  <c r="L40" i="1"/>
  <c r="L41" i="1"/>
  <c r="L42" i="1"/>
  <c r="L43" i="1"/>
  <c r="L9" i="1"/>
  <c r="L10" i="1"/>
  <c r="L11" i="1"/>
  <c r="L8" i="1"/>
  <c r="L5" i="1"/>
  <c r="L6" i="1"/>
  <c r="L7" i="1"/>
  <c r="L12" i="1"/>
  <c r="L13" i="1"/>
  <c r="L14" i="1"/>
  <c r="L15" i="1"/>
  <c r="L20" i="1"/>
  <c r="L21" i="1"/>
  <c r="L22" i="1"/>
  <c r="L23" i="1"/>
  <c r="L28" i="1"/>
  <c r="L29" i="1"/>
  <c r="L30" i="1"/>
  <c r="L31" i="1"/>
  <c r="L36" i="1"/>
  <c r="L37" i="1"/>
  <c r="L38" i="1"/>
  <c r="L39" i="1"/>
  <c r="L4" i="1"/>
  <c r="H15" i="7" l="1"/>
  <c r="L13" i="12"/>
  <c r="L15" i="12" s="1"/>
  <c r="H15" i="11"/>
  <c r="H17" i="11" s="1"/>
  <c r="L13" i="11"/>
  <c r="L16" i="11" s="1"/>
  <c r="L11" i="9"/>
  <c r="L13" i="9" s="1"/>
  <c r="H15" i="9"/>
  <c r="H17" i="9" s="1"/>
  <c r="L11" i="7"/>
  <c r="L13" i="7" s="1"/>
  <c r="H15" i="5"/>
  <c r="H17" i="5" s="1"/>
  <c r="L13" i="4"/>
  <c r="L17" i="4" s="1"/>
  <c r="H15" i="3"/>
  <c r="H17" i="3" s="1"/>
  <c r="L11" i="3"/>
  <c r="L13" i="3" s="1"/>
  <c r="H32" i="11"/>
  <c r="H32" i="9"/>
  <c r="H32" i="7"/>
  <c r="H17" i="7"/>
  <c r="H32" i="5"/>
  <c r="L11" i="5"/>
  <c r="L13" i="5" s="1"/>
  <c r="H32" i="3"/>
  <c r="L22" i="12"/>
  <c r="H13" i="12"/>
  <c r="C32" i="12"/>
  <c r="H32" i="12" s="1"/>
  <c r="L32" i="12" s="1"/>
  <c r="H15" i="12"/>
  <c r="L17" i="12"/>
  <c r="L16" i="12"/>
  <c r="H17" i="12"/>
  <c r="H31" i="12"/>
  <c r="L31" i="12" s="1"/>
  <c r="L22" i="10"/>
  <c r="H13" i="10"/>
  <c r="C32" i="10"/>
  <c r="H32" i="10" s="1"/>
  <c r="L32" i="10" s="1"/>
  <c r="L17" i="10"/>
  <c r="L15" i="10"/>
  <c r="L16" i="10"/>
  <c r="H31" i="10"/>
  <c r="L31" i="10" s="1"/>
  <c r="H15" i="10"/>
  <c r="H17" i="10" s="1"/>
  <c r="L22" i="6"/>
  <c r="H13" i="4"/>
  <c r="H15" i="4" s="1"/>
  <c r="H17" i="4" s="1"/>
  <c r="C32" i="4"/>
  <c r="H32" i="4" s="1"/>
  <c r="L32" i="4" s="1"/>
  <c r="L22" i="4"/>
  <c r="D12" i="1"/>
  <c r="J12" i="1" s="1"/>
  <c r="D4" i="1"/>
  <c r="J4" i="1" s="1"/>
  <c r="D5" i="1"/>
  <c r="J5" i="1" s="1"/>
  <c r="D6" i="1"/>
  <c r="J6" i="1" s="1"/>
  <c r="D7" i="1"/>
  <c r="J7" i="1" s="1"/>
  <c r="D8" i="1"/>
  <c r="J8" i="1" s="1"/>
  <c r="D9" i="1"/>
  <c r="J9" i="1" s="1"/>
  <c r="D10" i="1"/>
  <c r="J10" i="1" s="1"/>
  <c r="D11" i="1"/>
  <c r="J11" i="1" s="1"/>
  <c r="D13" i="1"/>
  <c r="J13" i="1" s="1"/>
  <c r="D14" i="1"/>
  <c r="J14" i="1" s="1"/>
  <c r="D15" i="1"/>
  <c r="J15" i="1" s="1"/>
  <c r="D16" i="1"/>
  <c r="J16" i="1" s="1"/>
  <c r="D17" i="1"/>
  <c r="J17" i="1" s="1"/>
  <c r="D18" i="1"/>
  <c r="J18" i="1" s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28" i="1"/>
  <c r="J28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I33" i="1" l="1"/>
  <c r="K33" i="1"/>
  <c r="I17" i="1"/>
  <c r="K17" i="1"/>
  <c r="I24" i="1"/>
  <c r="K24" i="1"/>
  <c r="I16" i="1"/>
  <c r="Q16" i="1" s="1"/>
  <c r="K16" i="1"/>
  <c r="I8" i="1"/>
  <c r="K8" i="1"/>
  <c r="I39" i="1"/>
  <c r="K39" i="1"/>
  <c r="I31" i="1"/>
  <c r="K31" i="1"/>
  <c r="I23" i="1"/>
  <c r="K23" i="1"/>
  <c r="I15" i="1"/>
  <c r="Q15" i="1" s="1"/>
  <c r="K15" i="1"/>
  <c r="I7" i="1"/>
  <c r="K7" i="1"/>
  <c r="I38" i="1"/>
  <c r="K38" i="1"/>
  <c r="I30" i="1"/>
  <c r="K30" i="1"/>
  <c r="I22" i="1"/>
  <c r="K22" i="1"/>
  <c r="I14" i="1"/>
  <c r="K14" i="1"/>
  <c r="I6" i="1"/>
  <c r="K6" i="1"/>
  <c r="I41" i="1"/>
  <c r="K41" i="1"/>
  <c r="I40" i="1"/>
  <c r="K40" i="1"/>
  <c r="I37" i="1"/>
  <c r="K37" i="1"/>
  <c r="I21" i="1"/>
  <c r="K21" i="1"/>
  <c r="I36" i="1"/>
  <c r="K36" i="1"/>
  <c r="I28" i="1"/>
  <c r="K28" i="1"/>
  <c r="I20" i="1"/>
  <c r="K20" i="1"/>
  <c r="I12" i="1"/>
  <c r="K12" i="1"/>
  <c r="I43" i="1"/>
  <c r="K43" i="1"/>
  <c r="I35" i="1"/>
  <c r="K35" i="1"/>
  <c r="I27" i="1"/>
  <c r="K27" i="1"/>
  <c r="I19" i="1"/>
  <c r="Q19" i="1" s="1"/>
  <c r="K19" i="1"/>
  <c r="I11" i="1"/>
  <c r="K11" i="1"/>
  <c r="I25" i="1"/>
  <c r="K25" i="1"/>
  <c r="I9" i="1"/>
  <c r="K9" i="1"/>
  <c r="I32" i="1"/>
  <c r="K32" i="1"/>
  <c r="I29" i="1"/>
  <c r="K29" i="1"/>
  <c r="I13" i="1"/>
  <c r="K13" i="1"/>
  <c r="I5" i="1"/>
  <c r="K5" i="1"/>
  <c r="I42" i="1"/>
  <c r="K42" i="1"/>
  <c r="I34" i="1"/>
  <c r="K34" i="1"/>
  <c r="I26" i="1"/>
  <c r="C4" i="8" s="1"/>
  <c r="K26" i="1"/>
  <c r="I18" i="1"/>
  <c r="Q18" i="1" s="1"/>
  <c r="K18" i="1"/>
  <c r="I10" i="1"/>
  <c r="K10" i="1"/>
  <c r="H37" i="12"/>
  <c r="E57" i="12" s="1"/>
  <c r="H18" i="2" s="1"/>
  <c r="L37" i="12"/>
  <c r="L39" i="12" s="1"/>
  <c r="L42" i="12" s="1"/>
  <c r="L15" i="11"/>
  <c r="L17" i="11"/>
  <c r="L16" i="7"/>
  <c r="L17" i="7"/>
  <c r="L15" i="7"/>
  <c r="H37" i="4"/>
  <c r="L37" i="4"/>
  <c r="L39" i="4" s="1"/>
  <c r="L42" i="4" s="1"/>
  <c r="L16" i="4"/>
  <c r="L15" i="4"/>
  <c r="L16" i="3"/>
  <c r="L15" i="3"/>
  <c r="L17" i="3"/>
  <c r="L32" i="11"/>
  <c r="L38" i="11" s="1"/>
  <c r="L40" i="11" s="1"/>
  <c r="L43" i="11" s="1"/>
  <c r="H38" i="11"/>
  <c r="H43" i="11" s="1"/>
  <c r="I17" i="2" s="1"/>
  <c r="L16" i="9"/>
  <c r="L17" i="9"/>
  <c r="L15" i="9"/>
  <c r="L32" i="9"/>
  <c r="L38" i="9" s="1"/>
  <c r="L40" i="9" s="1"/>
  <c r="L43" i="9" s="1"/>
  <c r="H38" i="9"/>
  <c r="L32" i="7"/>
  <c r="L38" i="7" s="1"/>
  <c r="L40" i="7" s="1"/>
  <c r="L43" i="7" s="1"/>
  <c r="H38" i="7"/>
  <c r="L16" i="5"/>
  <c r="L17" i="5"/>
  <c r="L15" i="5"/>
  <c r="L32" i="5"/>
  <c r="L38" i="5" s="1"/>
  <c r="L40" i="5" s="1"/>
  <c r="L43" i="5" s="1"/>
  <c r="H38" i="5"/>
  <c r="L32" i="3"/>
  <c r="L38" i="3" s="1"/>
  <c r="L40" i="3" s="1"/>
  <c r="L43" i="3" s="1"/>
  <c r="H38" i="3"/>
  <c r="H43" i="3" s="1"/>
  <c r="I5" i="2" s="1"/>
  <c r="H37" i="10"/>
  <c r="D58" i="10" s="1"/>
  <c r="D15" i="2" s="1"/>
  <c r="L37" i="10"/>
  <c r="L39" i="10" s="1"/>
  <c r="L42" i="10" s="1"/>
  <c r="F4" i="1"/>
  <c r="F50" i="4" l="1"/>
  <c r="D56" i="4"/>
  <c r="F6" i="2" s="1"/>
  <c r="F56" i="4"/>
  <c r="G6" i="2" s="1"/>
  <c r="C4" i="6"/>
  <c r="Q17" i="1"/>
  <c r="I4" i="1"/>
  <c r="K4" i="1"/>
  <c r="C13" i="8"/>
  <c r="H4" i="8"/>
  <c r="H31" i="8" s="1"/>
  <c r="C11" i="8"/>
  <c r="H11" i="8" s="1"/>
  <c r="L3" i="8"/>
  <c r="L4" i="8" s="1"/>
  <c r="C12" i="8"/>
  <c r="H12" i="8" s="1"/>
  <c r="C10" i="8"/>
  <c r="H10" i="8" s="1"/>
  <c r="F56" i="12"/>
  <c r="G18" i="2" s="1"/>
  <c r="C45" i="12"/>
  <c r="D57" i="12"/>
  <c r="C47" i="12"/>
  <c r="F57" i="12"/>
  <c r="D58" i="12"/>
  <c r="D18" i="2" s="1"/>
  <c r="H42" i="12"/>
  <c r="I18" i="2" s="1"/>
  <c r="D56" i="12"/>
  <c r="F18" i="2" s="1"/>
  <c r="E58" i="12"/>
  <c r="F50" i="12"/>
  <c r="E56" i="12"/>
  <c r="F58" i="12"/>
  <c r="E18" i="2" s="1"/>
  <c r="E56" i="10"/>
  <c r="E58" i="4"/>
  <c r="E56" i="4"/>
  <c r="D57" i="4"/>
  <c r="C45" i="4"/>
  <c r="D58" i="4"/>
  <c r="D6" i="2" s="1"/>
  <c r="E57" i="4"/>
  <c r="H6" i="2" s="1"/>
  <c r="C47" i="4"/>
  <c r="F58" i="4"/>
  <c r="E6" i="2" s="1"/>
  <c r="H42" i="4"/>
  <c r="I6" i="2" s="1"/>
  <c r="F57" i="4"/>
  <c r="C46" i="11"/>
  <c r="F51" i="11"/>
  <c r="C48" i="11"/>
  <c r="F58" i="11"/>
  <c r="D57" i="11"/>
  <c r="F17" i="2" s="1"/>
  <c r="E57" i="11"/>
  <c r="F57" i="11"/>
  <c r="G17" i="2" s="1"/>
  <c r="F59" i="11"/>
  <c r="E17" i="2" s="1"/>
  <c r="D58" i="11"/>
  <c r="E58" i="11"/>
  <c r="H17" i="2" s="1"/>
  <c r="D59" i="11"/>
  <c r="D17" i="2" s="1"/>
  <c r="E59" i="11"/>
  <c r="F51" i="9"/>
  <c r="C48" i="9"/>
  <c r="C46" i="9"/>
  <c r="F58" i="9"/>
  <c r="E59" i="9"/>
  <c r="D59" i="9"/>
  <c r="D14" i="2" s="1"/>
  <c r="D57" i="9"/>
  <c r="F14" i="2" s="1"/>
  <c r="F57" i="9"/>
  <c r="G14" i="2" s="1"/>
  <c r="E57" i="9"/>
  <c r="E58" i="9"/>
  <c r="H14" i="2" s="1"/>
  <c r="D58" i="9"/>
  <c r="F59" i="9"/>
  <c r="E14" i="2" s="1"/>
  <c r="H43" i="9"/>
  <c r="I14" i="2" s="1"/>
  <c r="F51" i="7"/>
  <c r="C48" i="7"/>
  <c r="C46" i="7"/>
  <c r="F58" i="7"/>
  <c r="F59" i="7"/>
  <c r="E11" i="2" s="1"/>
  <c r="E58" i="7"/>
  <c r="H11" i="2" s="1"/>
  <c r="E59" i="7"/>
  <c r="F57" i="7"/>
  <c r="G11" i="2" s="1"/>
  <c r="D57" i="7"/>
  <c r="F11" i="2" s="1"/>
  <c r="E57" i="7"/>
  <c r="D58" i="7"/>
  <c r="D59" i="7"/>
  <c r="D11" i="2" s="1"/>
  <c r="H43" i="7"/>
  <c r="I11" i="2" s="1"/>
  <c r="F51" i="5"/>
  <c r="C48" i="5"/>
  <c r="C46" i="5"/>
  <c r="E58" i="5"/>
  <c r="H8" i="2" s="1"/>
  <c r="F58" i="5"/>
  <c r="D58" i="5"/>
  <c r="F57" i="5"/>
  <c r="G8" i="2" s="1"/>
  <c r="E59" i="5"/>
  <c r="D57" i="5"/>
  <c r="F8" i="2" s="1"/>
  <c r="F59" i="5"/>
  <c r="E8" i="2" s="1"/>
  <c r="E57" i="5"/>
  <c r="D59" i="5"/>
  <c r="D8" i="2" s="1"/>
  <c r="H43" i="5"/>
  <c r="I8" i="2" s="1"/>
  <c r="C46" i="3"/>
  <c r="F51" i="3"/>
  <c r="C48" i="3"/>
  <c r="E58" i="3"/>
  <c r="H5" i="2" s="1"/>
  <c r="E59" i="3"/>
  <c r="D57" i="3"/>
  <c r="F5" i="2" s="1"/>
  <c r="F58" i="3"/>
  <c r="D59" i="3"/>
  <c r="D5" i="2" s="1"/>
  <c r="D58" i="3"/>
  <c r="F57" i="3"/>
  <c r="G5" i="2" s="1"/>
  <c r="F59" i="3"/>
  <c r="E5" i="2" s="1"/>
  <c r="E57" i="3"/>
  <c r="C45" i="10"/>
  <c r="F50" i="10"/>
  <c r="C47" i="10"/>
  <c r="F57" i="10"/>
  <c r="E57" i="10"/>
  <c r="H15" i="2" s="1"/>
  <c r="D57" i="10"/>
  <c r="E58" i="10"/>
  <c r="F56" i="10"/>
  <c r="G15" i="2" s="1"/>
  <c r="F58" i="10"/>
  <c r="E15" i="2" s="1"/>
  <c r="D56" i="10"/>
  <c r="F15" i="2" s="1"/>
  <c r="H42" i="10"/>
  <c r="I15" i="2" s="1"/>
  <c r="L3" i="6" l="1"/>
  <c r="L4" i="6" s="1"/>
  <c r="H4" i="6"/>
  <c r="H32" i="6" s="1"/>
  <c r="C13" i="6"/>
  <c r="C12" i="6"/>
  <c r="H12" i="6" s="1"/>
  <c r="C10" i="6"/>
  <c r="H10" i="6" s="1"/>
  <c r="C11" i="6"/>
  <c r="H11" i="6" s="1"/>
  <c r="L10" i="8"/>
  <c r="L13" i="8" s="1"/>
  <c r="L11" i="8"/>
  <c r="H13" i="8"/>
  <c r="H15" i="8" s="1"/>
  <c r="H17" i="8" s="1"/>
  <c r="H42" i="8" s="1"/>
  <c r="I12" i="2" s="1"/>
  <c r="C32" i="8"/>
  <c r="H32" i="8" s="1"/>
  <c r="L32" i="8" s="1"/>
  <c r="L31" i="8"/>
  <c r="L37" i="8" s="1"/>
  <c r="H37" i="8"/>
  <c r="E57" i="8" l="1"/>
  <c r="H12" i="2" s="1"/>
  <c r="F57" i="8"/>
  <c r="F56" i="8"/>
  <c r="G12" i="2" s="1"/>
  <c r="D57" i="8"/>
  <c r="D58" i="8"/>
  <c r="D12" i="2" s="1"/>
  <c r="C45" i="8"/>
  <c r="D56" i="8"/>
  <c r="F12" i="2" s="1"/>
  <c r="F50" i="8"/>
  <c r="E58" i="8"/>
  <c r="E56" i="8"/>
  <c r="C47" i="8"/>
  <c r="F58" i="8"/>
  <c r="E12" i="2" s="1"/>
  <c r="L10" i="6"/>
  <c r="L11" i="6"/>
  <c r="L17" i="8"/>
  <c r="L39" i="8"/>
  <c r="L42" i="8" s="1"/>
  <c r="L15" i="8"/>
  <c r="L16" i="8"/>
  <c r="H13" i="6"/>
  <c r="H15" i="6" s="1"/>
  <c r="H17" i="6" s="1"/>
  <c r="C33" i="6"/>
  <c r="H33" i="6" s="1"/>
  <c r="L33" i="6" s="1"/>
  <c r="L32" i="6"/>
  <c r="L38" i="6" s="1"/>
  <c r="H38" i="6"/>
  <c r="H43" i="6" l="1"/>
  <c r="I9" i="2" s="1"/>
  <c r="F51" i="6"/>
  <c r="E57" i="6"/>
  <c r="C46" i="6"/>
  <c r="C48" i="6"/>
  <c r="F59" i="6"/>
  <c r="E9" i="2" s="1"/>
  <c r="F57" i="6"/>
  <c r="G9" i="2" s="1"/>
  <c r="F58" i="6"/>
  <c r="E58" i="6"/>
  <c r="H9" i="2" s="1"/>
  <c r="D58" i="6"/>
  <c r="D59" i="6"/>
  <c r="D9" i="2" s="1"/>
  <c r="D57" i="6"/>
  <c r="F9" i="2" s="1"/>
  <c r="E59" i="6"/>
  <c r="L13" i="6"/>
  <c r="L40" i="6" s="1"/>
  <c r="L43" i="6" s="1"/>
  <c r="L17" i="6" l="1"/>
  <c r="L16" i="6"/>
  <c r="L15" i="6"/>
</calcChain>
</file>

<file path=xl/sharedStrings.xml><?xml version="1.0" encoding="utf-8"?>
<sst xmlns="http://schemas.openxmlformats.org/spreadsheetml/2006/main" count="983" uniqueCount="158">
  <si>
    <t>SAGIT Quality Check</t>
  </si>
  <si>
    <t>Site</t>
  </si>
  <si>
    <t>Variety</t>
  </si>
  <si>
    <t>Weight</t>
  </si>
  <si>
    <t>Test Weight</t>
  </si>
  <si>
    <t>Screenings</t>
  </si>
  <si>
    <t>Screenings %</t>
  </si>
  <si>
    <t>COO</t>
  </si>
  <si>
    <t>Cobra</t>
  </si>
  <si>
    <t>Yawa</t>
  </si>
  <si>
    <t>Trojan</t>
  </si>
  <si>
    <t>Aurora</t>
  </si>
  <si>
    <t>Mace</t>
  </si>
  <si>
    <t>WID802</t>
  </si>
  <si>
    <t>Emu Rock</t>
  </si>
  <si>
    <t>Tamaroi</t>
  </si>
  <si>
    <t>YEE</t>
  </si>
  <si>
    <t>WJ</t>
  </si>
  <si>
    <t>SAN</t>
  </si>
  <si>
    <t>RAC</t>
  </si>
  <si>
    <t>Protein</t>
  </si>
  <si>
    <t>APW</t>
  </si>
  <si>
    <t>Trojan APW</t>
  </si>
  <si>
    <t>TW Grade</t>
  </si>
  <si>
    <t>Screen Grade</t>
  </si>
  <si>
    <t>Protein Grade</t>
  </si>
  <si>
    <t>PAY GRADE</t>
  </si>
  <si>
    <t>H2</t>
  </si>
  <si>
    <t>AUH2</t>
  </si>
  <si>
    <t>ASW</t>
  </si>
  <si>
    <t>H1</t>
  </si>
  <si>
    <t>DR3</t>
  </si>
  <si>
    <t>DR2</t>
  </si>
  <si>
    <t>DR1</t>
  </si>
  <si>
    <t>AGP1</t>
  </si>
  <si>
    <t>FED1</t>
  </si>
  <si>
    <t>x</t>
  </si>
  <si>
    <t>Gross Income</t>
  </si>
  <si>
    <t>Screened</t>
  </si>
  <si>
    <t>add $14 for cleaning</t>
  </si>
  <si>
    <t>Total Production HA</t>
  </si>
  <si>
    <t>Gross Return</t>
  </si>
  <si>
    <t>Yield t / Ha</t>
  </si>
  <si>
    <t>$ / t</t>
  </si>
  <si>
    <t>$ / Ha</t>
  </si>
  <si>
    <t>Tonnes Produced :</t>
  </si>
  <si>
    <t>Tonnes Sold :</t>
  </si>
  <si>
    <t>Tonnes Retained :</t>
  </si>
  <si>
    <t>Marketing Charges</t>
  </si>
  <si>
    <t>Gross Cash</t>
  </si>
  <si>
    <t>Total Marketing Cost</t>
  </si>
  <si>
    <t>Net Payment</t>
  </si>
  <si>
    <t>Total Charges</t>
  </si>
  <si>
    <t>Harvest Payment</t>
  </si>
  <si>
    <t>Post Harvest</t>
  </si>
  <si>
    <t>Net Price</t>
  </si>
  <si>
    <t>Pool Remaining</t>
  </si>
  <si>
    <t>Variable Costs</t>
  </si>
  <si>
    <t>Quantity</t>
  </si>
  <si>
    <t>Unit</t>
  </si>
  <si>
    <t>$ / Unit</t>
  </si>
  <si>
    <t>$</t>
  </si>
  <si>
    <t>Seed</t>
  </si>
  <si>
    <t>kg / ha</t>
  </si>
  <si>
    <t>$ / kg</t>
  </si>
  <si>
    <t>Seed Dressing</t>
  </si>
  <si>
    <t xml:space="preserve">Fertiliser  </t>
  </si>
  <si>
    <t>$ / T</t>
  </si>
  <si>
    <t>Fertiliser 2</t>
  </si>
  <si>
    <t>l/ha</t>
  </si>
  <si>
    <t>$/L</t>
  </si>
  <si>
    <t>Chemical 1</t>
  </si>
  <si>
    <t>L / ha</t>
  </si>
  <si>
    <t>$ / L</t>
  </si>
  <si>
    <t>Chemical 2</t>
  </si>
  <si>
    <t>Chemical 3</t>
  </si>
  <si>
    <t>Chemical 4</t>
  </si>
  <si>
    <t>Chemical 5</t>
  </si>
  <si>
    <t>Insurance</t>
  </si>
  <si>
    <t>Freight</t>
  </si>
  <si>
    <t>T / ha</t>
  </si>
  <si>
    <t>Fuel</t>
  </si>
  <si>
    <t>Total On Farm Variable Costs :</t>
  </si>
  <si>
    <t>Total Variable Costs :</t>
  </si>
  <si>
    <t>Cash Gross Margin :</t>
  </si>
  <si>
    <t>Plus Grain Retained :</t>
  </si>
  <si>
    <t>Gross Margin / Ha :</t>
  </si>
  <si>
    <t>Total Gross Margin :</t>
  </si>
  <si>
    <t>Break Even Yield :</t>
  </si>
  <si>
    <t>Break Even Price :</t>
  </si>
  <si>
    <t>Sensitivity Analysis</t>
  </si>
  <si>
    <t>( Calculated on</t>
  </si>
  <si>
    <t>variable costs )</t>
  </si>
  <si>
    <t>t / Ha</t>
  </si>
  <si>
    <t>Price $ / t</t>
  </si>
  <si>
    <t>High Yield</t>
  </si>
  <si>
    <t>Average Yield</t>
  </si>
  <si>
    <t>Low Yield</t>
  </si>
  <si>
    <t>mL/Ha</t>
  </si>
  <si>
    <t>Chemical 6</t>
  </si>
  <si>
    <t>Tilt</t>
  </si>
  <si>
    <t>COONALPYN BREAD</t>
  </si>
  <si>
    <t>BREAD / DURUM GROSS MARGIN ANALYSIS</t>
  </si>
  <si>
    <t>COONALPYN DURUM</t>
  </si>
  <si>
    <t>Shows approximate GM/Ha for High, Average and Low yields and prices achieved in trials</t>
  </si>
  <si>
    <t>Coonalpyn</t>
  </si>
  <si>
    <t>Bread</t>
  </si>
  <si>
    <t>Durum</t>
  </si>
  <si>
    <t>Best GM</t>
  </si>
  <si>
    <t>Does not take into account changes to insurance or freight as yield changes - would have a minor effect on GM</t>
  </si>
  <si>
    <t xml:space="preserve">Actual </t>
  </si>
  <si>
    <t xml:space="preserve">Average </t>
  </si>
  <si>
    <t>GM</t>
  </si>
  <si>
    <t>High Price</t>
  </si>
  <si>
    <t>Low Price</t>
  </si>
  <si>
    <t>Roseworthy</t>
  </si>
  <si>
    <t>Sanderston</t>
  </si>
  <si>
    <t>Wandereah</t>
  </si>
  <si>
    <t>Yeelanna</t>
  </si>
  <si>
    <t>MCPA</t>
  </si>
  <si>
    <t>Lontrel</t>
  </si>
  <si>
    <t>Jedi Duo</t>
  </si>
  <si>
    <t>Striker</t>
  </si>
  <si>
    <t>Ultramax</t>
  </si>
  <si>
    <t>UAN</t>
  </si>
  <si>
    <t>DAP</t>
  </si>
  <si>
    <t>Total - Road, Rail</t>
  </si>
  <si>
    <t>and Delivery Fees</t>
  </si>
  <si>
    <t>Total, includes road</t>
  </si>
  <si>
    <t>and rail freight, and</t>
  </si>
  <si>
    <t>delivery / EPR</t>
  </si>
  <si>
    <t>MCPA A</t>
  </si>
  <si>
    <t>ROSEWORTHY BREAD</t>
  </si>
  <si>
    <t>Total - includes rail,</t>
  </si>
  <si>
    <t>road freight and</t>
  </si>
  <si>
    <t>recieval fees</t>
  </si>
  <si>
    <t>$ / 1000L</t>
  </si>
  <si>
    <t>LVE</t>
  </si>
  <si>
    <t>ROSEWORTHY DURUM</t>
  </si>
  <si>
    <t>Cleaning</t>
  </si>
  <si>
    <t>Total - includes road</t>
  </si>
  <si>
    <t>SANDERSTON BREAD</t>
  </si>
  <si>
    <t>delivery fees</t>
  </si>
  <si>
    <t>SANDERSTON DURUM</t>
  </si>
  <si>
    <t>delivery and EPR</t>
  </si>
  <si>
    <t>Total - road freight</t>
  </si>
  <si>
    <t>$/ 1000L</t>
  </si>
  <si>
    <t>WANDEREAH BREAD</t>
  </si>
  <si>
    <t>WANDEREAH DURUM</t>
  </si>
  <si>
    <t xml:space="preserve">freight, delivery fee </t>
  </si>
  <si>
    <t>and EPR</t>
  </si>
  <si>
    <t>YEELANNA BREAD</t>
  </si>
  <si>
    <t>Total - includes road and</t>
  </si>
  <si>
    <t xml:space="preserve">rail freight and delivery </t>
  </si>
  <si>
    <t>YEELANNA DURUM</t>
  </si>
  <si>
    <t xml:space="preserve">Total - includes road </t>
  </si>
  <si>
    <t xml:space="preserve">freight, delivery </t>
  </si>
  <si>
    <t>Yield (t/ha)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</si>
</sst>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1" fontId="0" fillId="0" borderId="7" xfId="0" applyNumberFormat="1" applyBorder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4" xfId="0" applyNumberFormat="1" applyBorder="1"/>
    <xf numFmtId="0" fontId="0" fillId="0" borderId="8" xfId="0" applyBorder="1"/>
    <xf numFmtId="1" fontId="0" fillId="0" borderId="8" xfId="0" applyNumberFormat="1" applyBorder="1"/>
    <xf numFmtId="164" fontId="0" fillId="0" borderId="8" xfId="0" applyNumberFormat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 applyBorder="1"/>
    <xf numFmtId="2" fontId="0" fillId="0" borderId="8" xfId="0" applyNumberFormat="1" applyBorder="1"/>
    <xf numFmtId="0" fontId="3" fillId="0" borderId="0" xfId="0" applyFont="1" applyBorder="1"/>
    <xf numFmtId="1" fontId="3" fillId="0" borderId="0" xfId="0" applyNumberFormat="1" applyFont="1" applyBorder="1"/>
    <xf numFmtId="1" fontId="4" fillId="0" borderId="8" xfId="0" applyNumberFormat="1" applyFont="1" applyBorder="1"/>
    <xf numFmtId="0" fontId="0" fillId="0" borderId="9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6" fillId="0" borderId="0" xfId="0" applyNumberFormat="1" applyFont="1"/>
    <xf numFmtId="0" fontId="6" fillId="0" borderId="0" xfId="0" applyFont="1"/>
    <xf numFmtId="9" fontId="0" fillId="0" borderId="0" xfId="1" applyFont="1"/>
    <xf numFmtId="1" fontId="0" fillId="0" borderId="0" xfId="0" applyNumberFormat="1"/>
    <xf numFmtId="20" fontId="0" fillId="0" borderId="0" xfId="0" applyNumberFormat="1"/>
    <xf numFmtId="9" fontId="6" fillId="0" borderId="0" xfId="1" applyFont="1"/>
    <xf numFmtId="164" fontId="0" fillId="0" borderId="0" xfId="0" applyNumberFormat="1"/>
    <xf numFmtId="164" fontId="6" fillId="0" borderId="0" xfId="0" applyNumberFormat="1" applyFont="1"/>
    <xf numFmtId="9" fontId="7" fillId="0" borderId="0" xfId="1" applyFont="1"/>
    <xf numFmtId="0" fontId="7" fillId="0" borderId="0" xfId="0" applyFont="1"/>
    <xf numFmtId="0" fontId="5" fillId="0" borderId="0" xfId="0" applyFont="1" applyAlignment="1">
      <alignment horizontal="right"/>
    </xf>
    <xf numFmtId="2" fontId="0" fillId="0" borderId="0" xfId="0" applyNumberFormat="1"/>
    <xf numFmtId="0" fontId="8" fillId="0" borderId="0" xfId="0" applyFont="1"/>
    <xf numFmtId="0" fontId="1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5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" fontId="5" fillId="0" borderId="0" xfId="0" applyNumberFormat="1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5\a1652455\2014\SITES%202014\BW%20DW%20Gross%20Marg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URUM"/>
      <sheetName val="BREAD"/>
    </sheetNames>
    <sheetDataSet>
      <sheetData sheetId="0">
        <row r="22">
          <cell r="D22">
            <v>0</v>
          </cell>
        </row>
        <row r="31">
          <cell r="I31">
            <v>0.01</v>
          </cell>
        </row>
        <row r="33">
          <cell r="D33">
            <v>9</v>
          </cell>
          <cell r="I33">
            <v>1.5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/>
  </sheetViews>
  <sheetFormatPr defaultRowHeight="15" x14ac:dyDescent="0.25"/>
  <cols>
    <col min="2" max="2" width="18" customWidth="1"/>
    <col min="4" max="4" width="11.5703125" bestFit="1" customWidth="1"/>
    <col min="5" max="5" width="10.5703125" bestFit="1" customWidth="1"/>
    <col min="6" max="6" width="12.5703125" bestFit="1" customWidth="1"/>
    <col min="8" max="8" width="10.5703125" customWidth="1"/>
    <col min="10" max="10" width="12.28515625" style="7" customWidth="1"/>
    <col min="11" max="11" width="12.7109375" style="7" bestFit="1" customWidth="1"/>
    <col min="12" max="12" width="13.42578125" style="7" bestFit="1" customWidth="1"/>
    <col min="14" max="14" width="9.140625" style="8"/>
  </cols>
  <sheetData>
    <row r="1" spans="1:19" ht="18.75" x14ac:dyDescent="0.3">
      <c r="A1" s="56" t="s">
        <v>0</v>
      </c>
    </row>
    <row r="3" spans="1:19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20</v>
      </c>
      <c r="H3" t="s">
        <v>157</v>
      </c>
      <c r="I3" s="21" t="s">
        <v>38</v>
      </c>
      <c r="J3" s="7" t="s">
        <v>23</v>
      </c>
      <c r="K3" s="7" t="s">
        <v>24</v>
      </c>
      <c r="L3" s="7" t="s">
        <v>25</v>
      </c>
      <c r="N3" s="8" t="s">
        <v>26</v>
      </c>
      <c r="Q3" t="s">
        <v>37</v>
      </c>
    </row>
    <row r="4" spans="1:19" x14ac:dyDescent="0.25">
      <c r="A4" s="1" t="s">
        <v>7</v>
      </c>
      <c r="B4" s="2" t="s">
        <v>8</v>
      </c>
      <c r="C4" s="9">
        <v>380.5</v>
      </c>
      <c r="D4" s="10">
        <f t="shared" ref="D4:D27" si="0">(C4/500)*100</f>
        <v>76.099999999999994</v>
      </c>
      <c r="E4" s="9">
        <v>7.7</v>
      </c>
      <c r="F4" s="11">
        <f>E4/C4*100</f>
        <v>2.02365308804205</v>
      </c>
      <c r="G4" s="9">
        <v>12.5</v>
      </c>
      <c r="H4" s="9">
        <v>1.92</v>
      </c>
      <c r="I4" s="27">
        <f t="shared" ref="I4:I10" si="1">IF(F4&gt;5,H4*((105-F4)/100),H4)</f>
        <v>1.92</v>
      </c>
      <c r="J4" s="12" t="str">
        <f>IF(D4&gt;75,"H1",IF(D4&gt;70,"AUH2",IF(D4&gt;67,"AGP1","FED1")))</f>
        <v>H1</v>
      </c>
      <c r="K4" s="12" t="str">
        <f>IF(F4&lt;5,"H1",IF(F4&lt;10,"AUH2","FED1"))</f>
        <v>H1</v>
      </c>
      <c r="L4" s="12" t="str">
        <f>IF(G4&gt;12.9,"H1",IF(G4&gt;11.4,"H2",IF(G4&gt;10.4,"APW","ASW")))</f>
        <v>H2</v>
      </c>
      <c r="M4" s="9"/>
      <c r="N4" s="13" t="s">
        <v>27</v>
      </c>
      <c r="O4" s="9">
        <v>240</v>
      </c>
      <c r="P4" s="9">
        <v>49.92</v>
      </c>
      <c r="Q4" s="14">
        <f>(O4-P4)*H4</f>
        <v>364.95359999999994</v>
      </c>
    </row>
    <row r="5" spans="1:19" x14ac:dyDescent="0.25">
      <c r="A5" s="3"/>
      <c r="B5" s="4" t="s">
        <v>12</v>
      </c>
      <c r="C5" s="15">
        <v>367.3</v>
      </c>
      <c r="D5" s="16">
        <f t="shared" si="0"/>
        <v>73.460000000000008</v>
      </c>
      <c r="E5" s="15">
        <v>6.3</v>
      </c>
      <c r="F5" s="17">
        <f t="shared" ref="F5:F43" si="2">E5/C5*100</f>
        <v>1.7152191668935473</v>
      </c>
      <c r="G5" s="15">
        <v>13.3</v>
      </c>
      <c r="H5" s="15">
        <v>1.53</v>
      </c>
      <c r="I5" s="27">
        <f t="shared" si="1"/>
        <v>1.53</v>
      </c>
      <c r="J5" s="18" t="str">
        <f t="shared" ref="J5:J39" si="3">IF(D5&gt;75,"H1",IF(D5&gt;70,"AUH2",IF(D5&gt;67,"AGP1","FED1")))</f>
        <v>AUH2</v>
      </c>
      <c r="K5" s="18" t="str">
        <f t="shared" ref="K5:K7" si="4">IF(F5&lt;5,"H1",IF(F5&lt;10,"AUH2","FED1"))</f>
        <v>H1</v>
      </c>
      <c r="L5" s="18" t="str">
        <f t="shared" ref="L5:L7" si="5">IF(G5&gt;12.9,"H1",IF(G5&gt;11.4,"H2",IF(G5&gt;10.4,"APW","ASW")))</f>
        <v>H1</v>
      </c>
      <c r="M5" s="15"/>
      <c r="N5" s="19" t="s">
        <v>28</v>
      </c>
      <c r="O5" s="15">
        <v>231</v>
      </c>
      <c r="P5" s="15">
        <v>49.92</v>
      </c>
      <c r="Q5" s="20">
        <f t="shared" ref="Q5:Q43" si="6">(O5-P5)*H5</f>
        <v>277.05239999999998</v>
      </c>
    </row>
    <row r="6" spans="1:19" x14ac:dyDescent="0.25">
      <c r="A6" s="3"/>
      <c r="B6" s="4" t="s">
        <v>22</v>
      </c>
      <c r="C6" s="15">
        <v>395</v>
      </c>
      <c r="D6" s="16">
        <f t="shared" si="0"/>
        <v>79</v>
      </c>
      <c r="E6" s="15">
        <v>4.0999999999999996</v>
      </c>
      <c r="F6" s="17">
        <f t="shared" si="2"/>
        <v>1.0379746835443036</v>
      </c>
      <c r="G6" s="15">
        <v>10.4</v>
      </c>
      <c r="H6" s="15">
        <v>2.64</v>
      </c>
      <c r="I6" s="27">
        <f t="shared" si="1"/>
        <v>2.64</v>
      </c>
      <c r="J6" s="18" t="str">
        <f>IF(D6&gt;75,"APW",IF(D6&gt;70,"AUH2",IF(D6&gt;67,"AGP1","FED1")))</f>
        <v>APW</v>
      </c>
      <c r="K6" s="18" t="str">
        <f t="shared" si="4"/>
        <v>H1</v>
      </c>
      <c r="L6" s="18" t="str">
        <f t="shared" si="5"/>
        <v>ASW</v>
      </c>
      <c r="M6" s="15"/>
      <c r="N6" s="19" t="s">
        <v>29</v>
      </c>
      <c r="O6" s="15">
        <v>231</v>
      </c>
      <c r="P6" s="15">
        <v>49.92</v>
      </c>
      <c r="Q6" s="20">
        <f t="shared" si="6"/>
        <v>478.05119999999999</v>
      </c>
    </row>
    <row r="7" spans="1:19" x14ac:dyDescent="0.25">
      <c r="A7" s="3"/>
      <c r="B7" s="4" t="s">
        <v>14</v>
      </c>
      <c r="C7" s="15">
        <v>380.1</v>
      </c>
      <c r="D7" s="16">
        <f t="shared" si="0"/>
        <v>76.02000000000001</v>
      </c>
      <c r="E7" s="15">
        <v>6.5</v>
      </c>
      <c r="F7" s="17">
        <f t="shared" si="2"/>
        <v>1.7100762957116549</v>
      </c>
      <c r="G7" s="15">
        <v>13.6</v>
      </c>
      <c r="H7" s="15">
        <v>1.32</v>
      </c>
      <c r="I7" s="27">
        <f t="shared" si="1"/>
        <v>1.32</v>
      </c>
      <c r="J7" s="18" t="str">
        <f t="shared" si="3"/>
        <v>H1</v>
      </c>
      <c r="K7" s="18" t="str">
        <f t="shared" si="4"/>
        <v>H1</v>
      </c>
      <c r="L7" s="18" t="str">
        <f t="shared" si="5"/>
        <v>H1</v>
      </c>
      <c r="M7" s="15"/>
      <c r="N7" s="19" t="s">
        <v>30</v>
      </c>
      <c r="O7" s="15">
        <v>260</v>
      </c>
      <c r="P7" s="15">
        <v>49.92</v>
      </c>
      <c r="Q7" s="20">
        <f t="shared" si="6"/>
        <v>277.30559999999997</v>
      </c>
      <c r="S7" s="47"/>
    </row>
    <row r="8" spans="1:19" x14ac:dyDescent="0.25">
      <c r="A8" s="3"/>
      <c r="B8" s="4" t="s">
        <v>9</v>
      </c>
      <c r="C8" s="15">
        <v>390.4</v>
      </c>
      <c r="D8" s="16">
        <f t="shared" si="0"/>
        <v>78.08</v>
      </c>
      <c r="E8" s="15">
        <v>29.5</v>
      </c>
      <c r="F8" s="17">
        <f t="shared" si="2"/>
        <v>7.5563524590163942</v>
      </c>
      <c r="G8" s="15">
        <v>11.1</v>
      </c>
      <c r="H8" s="15">
        <v>1.87</v>
      </c>
      <c r="I8" s="27">
        <f t="shared" si="1"/>
        <v>1.8221962090163935</v>
      </c>
      <c r="J8" s="18" t="str">
        <f>IF(D8&gt;75,"DR1",IF(D8&gt;70,"DR32",IF(D8&gt;67,"AGP1","FED1")))</f>
        <v>DR1</v>
      </c>
      <c r="K8" s="18" t="str">
        <f>IF(F8&lt;5,"DR1",IF(F8&lt;9.9,"DR3","FED1"))</f>
        <v>DR3</v>
      </c>
      <c r="L8" s="18" t="str">
        <f>IF(G8&gt;12.9,"DR1",IF(G8&gt;11.4,"DR2",IF(G8&gt;9.9,"DR3","FED1")))</f>
        <v>DR3</v>
      </c>
      <c r="M8" s="15"/>
      <c r="N8" s="19" t="s">
        <v>31</v>
      </c>
      <c r="O8" s="15">
        <v>350</v>
      </c>
      <c r="P8" s="15">
        <v>27.35</v>
      </c>
      <c r="Q8" s="20">
        <f t="shared" si="6"/>
        <v>603.35550000000001</v>
      </c>
    </row>
    <row r="9" spans="1:19" x14ac:dyDescent="0.25">
      <c r="A9" s="3"/>
      <c r="B9" s="4" t="s">
        <v>11</v>
      </c>
      <c r="C9" s="15">
        <v>392.3</v>
      </c>
      <c r="D9" s="16">
        <f t="shared" si="0"/>
        <v>78.460000000000008</v>
      </c>
      <c r="E9" s="15">
        <v>10.3</v>
      </c>
      <c r="F9" s="17">
        <f t="shared" si="2"/>
        <v>2.62554167728779</v>
      </c>
      <c r="G9" s="15">
        <v>12.9</v>
      </c>
      <c r="H9" s="15">
        <v>1.79</v>
      </c>
      <c r="I9" s="27">
        <f t="shared" si="1"/>
        <v>1.79</v>
      </c>
      <c r="J9" s="18" t="str">
        <f t="shared" ref="J9:J11" si="7">IF(D9&gt;75,"DR1",IF(D9&gt;70,"DR32",IF(D9&gt;67,"AGP1","FED1")))</f>
        <v>DR1</v>
      </c>
      <c r="K9" s="18" t="str">
        <f t="shared" ref="K9:K43" si="8">IF(F9&lt;5,"DR1",IF(F9&lt;9.9,"DR3","FED1"))</f>
        <v>DR1</v>
      </c>
      <c r="L9" s="18" t="str">
        <f t="shared" ref="L9:L43" si="9">IF(G9&gt;12.9,"DR1",IF(G9&gt;11.4,"DR2",IF(G9&gt;9.9,"DR3","FED1")))</f>
        <v>DR2</v>
      </c>
      <c r="M9" s="15"/>
      <c r="N9" s="19" t="s">
        <v>32</v>
      </c>
      <c r="O9" s="15">
        <v>400</v>
      </c>
      <c r="P9" s="15">
        <v>27.35</v>
      </c>
      <c r="Q9" s="20">
        <f t="shared" si="6"/>
        <v>667.04349999999999</v>
      </c>
    </row>
    <row r="10" spans="1:19" x14ac:dyDescent="0.25">
      <c r="A10" s="3"/>
      <c r="B10" s="4" t="s">
        <v>13</v>
      </c>
      <c r="C10" s="15">
        <v>383.3</v>
      </c>
      <c r="D10" s="16">
        <f t="shared" si="0"/>
        <v>76.660000000000011</v>
      </c>
      <c r="E10" s="15">
        <v>9.6999999999999993</v>
      </c>
      <c r="F10" s="17">
        <f t="shared" si="2"/>
        <v>2.5306548395512651</v>
      </c>
      <c r="G10" s="15">
        <v>12.4</v>
      </c>
      <c r="H10" s="15">
        <v>1.35</v>
      </c>
      <c r="I10" s="27">
        <f t="shared" si="1"/>
        <v>1.35</v>
      </c>
      <c r="J10" s="18" t="str">
        <f t="shared" si="7"/>
        <v>DR1</v>
      </c>
      <c r="K10" s="18" t="str">
        <f t="shared" si="8"/>
        <v>DR1</v>
      </c>
      <c r="L10" s="18" t="str">
        <f t="shared" si="9"/>
        <v>DR2</v>
      </c>
      <c r="M10" s="15"/>
      <c r="N10" s="19" t="s">
        <v>32</v>
      </c>
      <c r="O10" s="15">
        <v>400</v>
      </c>
      <c r="P10" s="15">
        <v>27.35</v>
      </c>
      <c r="Q10" s="20">
        <f t="shared" si="6"/>
        <v>503.07749999999999</v>
      </c>
    </row>
    <row r="11" spans="1:19" x14ac:dyDescent="0.25">
      <c r="A11" s="5"/>
      <c r="B11" s="6" t="s">
        <v>15</v>
      </c>
      <c r="C11" s="21">
        <v>384</v>
      </c>
      <c r="D11" s="22">
        <f t="shared" si="0"/>
        <v>76.8</v>
      </c>
      <c r="E11" s="21">
        <v>9.8000000000000007</v>
      </c>
      <c r="F11" s="23">
        <f t="shared" si="2"/>
        <v>2.5520833333333335</v>
      </c>
      <c r="G11" s="21">
        <v>13.1</v>
      </c>
      <c r="H11" s="21">
        <v>1.1000000000000001</v>
      </c>
      <c r="I11" s="28">
        <f t="shared" ref="I11:I13" si="10">IF(F11&gt;5,H11*((105-F11)/100),H11)</f>
        <v>1.1000000000000001</v>
      </c>
      <c r="J11" s="24" t="str">
        <f t="shared" si="7"/>
        <v>DR1</v>
      </c>
      <c r="K11" s="24" t="str">
        <f t="shared" si="8"/>
        <v>DR1</v>
      </c>
      <c r="L11" s="24" t="str">
        <f t="shared" si="9"/>
        <v>DR1</v>
      </c>
      <c r="M11" s="21"/>
      <c r="N11" s="25" t="s">
        <v>33</v>
      </c>
      <c r="O11" s="21">
        <v>420</v>
      </c>
      <c r="P11" s="21">
        <v>27.35</v>
      </c>
      <c r="Q11" s="26">
        <f t="shared" si="6"/>
        <v>431.91500000000002</v>
      </c>
    </row>
    <row r="12" spans="1:19" x14ac:dyDescent="0.25">
      <c r="A12" s="1" t="s">
        <v>19</v>
      </c>
      <c r="B12" s="2" t="s">
        <v>8</v>
      </c>
      <c r="C12" s="9">
        <v>369</v>
      </c>
      <c r="D12" s="10">
        <f t="shared" si="0"/>
        <v>73.8</v>
      </c>
      <c r="E12" s="9">
        <v>33</v>
      </c>
      <c r="F12" s="11">
        <f t="shared" si="2"/>
        <v>8.9430894308943092</v>
      </c>
      <c r="G12" s="9">
        <v>12.3</v>
      </c>
      <c r="H12" s="9">
        <v>3.66</v>
      </c>
      <c r="I12" s="27">
        <f t="shared" si="10"/>
        <v>3.5156829268292684</v>
      </c>
      <c r="J12" s="12" t="str">
        <f t="shared" si="3"/>
        <v>AUH2</v>
      </c>
      <c r="K12" s="12" t="str">
        <f>IF(F12&lt;5,"H1",IF(F12&lt;10,"AUH2","FED1"))</f>
        <v>AUH2</v>
      </c>
      <c r="L12" s="12" t="str">
        <f>IF(G12&gt;12.9,"H1",IF(G12&gt;11.4,"H2",IF(G12&gt;10.4,"APW","ASW")))</f>
        <v>H2</v>
      </c>
      <c r="M12" s="9"/>
      <c r="N12" s="13" t="s">
        <v>28</v>
      </c>
      <c r="O12" s="9">
        <v>246</v>
      </c>
      <c r="P12" s="9">
        <v>29.84</v>
      </c>
      <c r="Q12" s="14">
        <f t="shared" si="6"/>
        <v>791.14560000000006</v>
      </c>
    </row>
    <row r="13" spans="1:19" x14ac:dyDescent="0.25">
      <c r="A13" s="3"/>
      <c r="B13" s="4" t="s">
        <v>12</v>
      </c>
      <c r="C13" s="15">
        <v>369</v>
      </c>
      <c r="D13" s="16">
        <f t="shared" si="0"/>
        <v>73.8</v>
      </c>
      <c r="E13" s="15">
        <v>34</v>
      </c>
      <c r="F13" s="17">
        <f t="shared" si="2"/>
        <v>9.2140921409214087</v>
      </c>
      <c r="G13" s="15">
        <v>12</v>
      </c>
      <c r="H13" s="15">
        <v>3.72</v>
      </c>
      <c r="I13" s="27">
        <f t="shared" si="10"/>
        <v>3.5632357723577237</v>
      </c>
      <c r="J13" s="18" t="str">
        <f t="shared" si="3"/>
        <v>AUH2</v>
      </c>
      <c r="K13" s="18" t="str">
        <f>IF(F13&lt;5,"H1",IF(F13&lt;10,"AUH2","FED1"))</f>
        <v>AUH2</v>
      </c>
      <c r="L13" s="18" t="str">
        <f>IF(G13&gt;12.9,"H1",IF(G13&gt;11.4,"H2",IF(G13&gt;10.4,"APW","ASW")))</f>
        <v>H2</v>
      </c>
      <c r="M13" s="15"/>
      <c r="N13" s="19" t="s">
        <v>28</v>
      </c>
      <c r="O13" s="15">
        <v>246</v>
      </c>
      <c r="P13" s="15">
        <v>29.84</v>
      </c>
      <c r="Q13" s="20">
        <f t="shared" si="6"/>
        <v>804.11520000000007</v>
      </c>
    </row>
    <row r="14" spans="1:19" x14ac:dyDescent="0.25">
      <c r="A14" s="3"/>
      <c r="B14" s="4" t="s">
        <v>10</v>
      </c>
      <c r="C14" s="15">
        <v>341</v>
      </c>
      <c r="D14" s="16">
        <f t="shared" si="0"/>
        <v>68.2</v>
      </c>
      <c r="E14" s="15">
        <v>32.4</v>
      </c>
      <c r="F14" s="17">
        <f t="shared" si="2"/>
        <v>9.5014662756598245</v>
      </c>
      <c r="G14" s="15">
        <v>12.5</v>
      </c>
      <c r="H14" s="15">
        <v>3.83</v>
      </c>
      <c r="I14" s="27">
        <f>IF(F14&gt;5,H14*((105-F14)/100),H14)</f>
        <v>3.6575938416422287</v>
      </c>
      <c r="J14" s="18" t="str">
        <f>IF(D14&gt;75,"APW",IF(D14&gt;70,"AUH2",IF(D14&gt;67,"AGP1","FED1")))</f>
        <v>AGP1</v>
      </c>
      <c r="K14" s="18" t="str">
        <f>IF(F14&lt;5,"H1",IF(F14&lt;10,"AUH2","FED1"))</f>
        <v>AUH2</v>
      </c>
      <c r="L14" s="18" t="str">
        <f>IF(G14&gt;12.9,"H1",IF(G14&gt;11.4,"H2",IF(G14&gt;10.4,"APW","ASW")))</f>
        <v>H2</v>
      </c>
      <c r="M14" s="15"/>
      <c r="N14" s="19" t="s">
        <v>34</v>
      </c>
      <c r="O14" s="15">
        <v>242</v>
      </c>
      <c r="P14" s="15">
        <v>29.84</v>
      </c>
      <c r="Q14" s="20">
        <f t="shared" si="6"/>
        <v>812.57280000000003</v>
      </c>
    </row>
    <row r="15" spans="1:19" x14ac:dyDescent="0.25">
      <c r="A15" s="3"/>
      <c r="B15" s="4" t="s">
        <v>14</v>
      </c>
      <c r="C15" s="15">
        <v>362.7</v>
      </c>
      <c r="D15" s="16">
        <f t="shared" si="0"/>
        <v>72.539999999999992</v>
      </c>
      <c r="E15" s="15">
        <v>38.5</v>
      </c>
      <c r="F15" s="17">
        <f t="shared" si="2"/>
        <v>10.614833195478358</v>
      </c>
      <c r="G15" s="15">
        <v>13.3</v>
      </c>
      <c r="H15" s="15">
        <v>3.57</v>
      </c>
      <c r="I15" s="27">
        <f>IF(F15&gt;5,H15*((105-F15)/100),H15)</f>
        <v>3.3695504549214226</v>
      </c>
      <c r="J15" s="18" t="str">
        <f t="shared" si="3"/>
        <v>AUH2</v>
      </c>
      <c r="K15" s="18" t="str">
        <f>IF(F15&lt;5,"H1",IF(F15&lt;10,"AUH2","FED1"))</f>
        <v>FED1</v>
      </c>
      <c r="L15" s="18" t="str">
        <f>IF(G15&gt;12.9,"H1",IF(G15&gt;11.4,"H2",IF(G15&gt;10.4,"APW","ASW")))</f>
        <v>H1</v>
      </c>
      <c r="M15" s="15" t="s">
        <v>36</v>
      </c>
      <c r="N15" s="19" t="s">
        <v>28</v>
      </c>
      <c r="O15" s="15">
        <v>246</v>
      </c>
      <c r="P15" s="15">
        <v>29.84</v>
      </c>
      <c r="Q15" s="20">
        <f>(O15-P15)*I15</f>
        <v>728.36202633581468</v>
      </c>
      <c r="R15" t="s">
        <v>39</v>
      </c>
    </row>
    <row r="16" spans="1:19" x14ac:dyDescent="0.25">
      <c r="A16" s="3"/>
      <c r="B16" s="4" t="s">
        <v>9</v>
      </c>
      <c r="C16" s="15">
        <v>371</v>
      </c>
      <c r="D16" s="16">
        <f t="shared" si="0"/>
        <v>74.2</v>
      </c>
      <c r="E16" s="15">
        <v>66</v>
      </c>
      <c r="F16" s="17">
        <f t="shared" si="2"/>
        <v>17.78975741239892</v>
      </c>
      <c r="G16" s="15">
        <v>13.6</v>
      </c>
      <c r="H16" s="15">
        <v>2.93</v>
      </c>
      <c r="I16" s="27">
        <f t="shared" ref="I16:I43" si="11">IF(F16&gt;5,H16*((105-F16)/100),H16)</f>
        <v>2.5552601078167116</v>
      </c>
      <c r="J16" s="18" t="str">
        <f>IF(D16&gt;75,"DR1",IF(D16&gt;70,"ADR3",IF(D16&gt;67,"AGP1","FED1")))</f>
        <v>ADR3</v>
      </c>
      <c r="K16" s="18" t="str">
        <f t="shared" si="8"/>
        <v>FED1</v>
      </c>
      <c r="L16" s="18" t="str">
        <f t="shared" si="9"/>
        <v>DR1</v>
      </c>
      <c r="M16" s="15" t="s">
        <v>36</v>
      </c>
      <c r="N16" s="19" t="s">
        <v>31</v>
      </c>
      <c r="O16" s="15">
        <v>350</v>
      </c>
      <c r="P16" s="15">
        <v>46</v>
      </c>
      <c r="Q16" s="20">
        <f t="shared" ref="Q16:Q19" si="12">(O16-P16)*I16</f>
        <v>776.79907277628035</v>
      </c>
      <c r="R16" t="s">
        <v>39</v>
      </c>
    </row>
    <row r="17" spans="1:18" x14ac:dyDescent="0.25">
      <c r="A17" s="3"/>
      <c r="B17" s="4" t="s">
        <v>11</v>
      </c>
      <c r="C17" s="15">
        <v>378</v>
      </c>
      <c r="D17" s="16">
        <f t="shared" si="0"/>
        <v>75.599999999999994</v>
      </c>
      <c r="E17" s="15">
        <v>45</v>
      </c>
      <c r="F17" s="17">
        <f t="shared" si="2"/>
        <v>11.904761904761903</v>
      </c>
      <c r="G17" s="15">
        <v>14.3</v>
      </c>
      <c r="H17" s="15">
        <v>2.89</v>
      </c>
      <c r="I17" s="27">
        <f t="shared" si="11"/>
        <v>2.6904523809523813</v>
      </c>
      <c r="J17" s="18" t="str">
        <f t="shared" ref="J17:J19" si="13">IF(D17&gt;75,"DR1",IF(D17&gt;70,"ADR3",IF(D17&gt;67,"AGP1","FED1")))</f>
        <v>DR1</v>
      </c>
      <c r="K17" s="18" t="str">
        <f t="shared" si="8"/>
        <v>FED1</v>
      </c>
      <c r="L17" s="18" t="str">
        <f t="shared" si="9"/>
        <v>DR1</v>
      </c>
      <c r="M17" s="15" t="s">
        <v>36</v>
      </c>
      <c r="N17" s="19" t="s">
        <v>33</v>
      </c>
      <c r="O17" s="15">
        <v>400</v>
      </c>
      <c r="P17" s="15">
        <v>46</v>
      </c>
      <c r="Q17" s="20">
        <f t="shared" si="12"/>
        <v>952.42014285714299</v>
      </c>
      <c r="R17" t="s">
        <v>39</v>
      </c>
    </row>
    <row r="18" spans="1:18" x14ac:dyDescent="0.25">
      <c r="A18" s="3"/>
      <c r="B18" s="4" t="s">
        <v>13</v>
      </c>
      <c r="C18" s="15">
        <v>362</v>
      </c>
      <c r="D18" s="16">
        <f t="shared" si="0"/>
        <v>72.399999999999991</v>
      </c>
      <c r="E18" s="15">
        <v>42.9</v>
      </c>
      <c r="F18" s="17">
        <f t="shared" si="2"/>
        <v>11.850828729281767</v>
      </c>
      <c r="G18" s="15">
        <v>13.7</v>
      </c>
      <c r="H18" s="15">
        <v>3.06</v>
      </c>
      <c r="I18" s="27">
        <f t="shared" si="11"/>
        <v>2.8503646408839778</v>
      </c>
      <c r="J18" s="18" t="str">
        <f t="shared" si="13"/>
        <v>ADR3</v>
      </c>
      <c r="K18" s="18" t="str">
        <f t="shared" si="8"/>
        <v>FED1</v>
      </c>
      <c r="L18" s="18" t="str">
        <f t="shared" si="9"/>
        <v>DR1</v>
      </c>
      <c r="M18" s="15" t="s">
        <v>36</v>
      </c>
      <c r="N18" s="19" t="s">
        <v>31</v>
      </c>
      <c r="O18" s="15">
        <v>350</v>
      </c>
      <c r="P18" s="15">
        <v>46</v>
      </c>
      <c r="Q18" s="20">
        <f t="shared" si="12"/>
        <v>866.51085082872919</v>
      </c>
      <c r="R18" t="s">
        <v>39</v>
      </c>
    </row>
    <row r="19" spans="1:18" x14ac:dyDescent="0.25">
      <c r="A19" s="5"/>
      <c r="B19" s="6" t="s">
        <v>15</v>
      </c>
      <c r="C19" s="21">
        <v>394</v>
      </c>
      <c r="D19" s="22">
        <f t="shared" si="0"/>
        <v>78.8</v>
      </c>
      <c r="E19" s="21">
        <v>42.6</v>
      </c>
      <c r="F19" s="23">
        <f t="shared" si="2"/>
        <v>10.812182741116752</v>
      </c>
      <c r="G19" s="21">
        <v>15.2</v>
      </c>
      <c r="H19" s="21">
        <v>2.79</v>
      </c>
      <c r="I19" s="28">
        <f t="shared" si="11"/>
        <v>2.6278401015228425</v>
      </c>
      <c r="J19" s="24" t="str">
        <f t="shared" si="13"/>
        <v>DR1</v>
      </c>
      <c r="K19" s="24" t="str">
        <f t="shared" si="8"/>
        <v>FED1</v>
      </c>
      <c r="L19" s="24" t="str">
        <f t="shared" si="9"/>
        <v>DR1</v>
      </c>
      <c r="M19" s="21" t="s">
        <v>36</v>
      </c>
      <c r="N19" s="25" t="s">
        <v>33</v>
      </c>
      <c r="O19" s="21">
        <v>400</v>
      </c>
      <c r="P19" s="21">
        <v>46</v>
      </c>
      <c r="Q19" s="26">
        <f t="shared" si="12"/>
        <v>930.25539593908627</v>
      </c>
      <c r="R19" t="s">
        <v>39</v>
      </c>
    </row>
    <row r="20" spans="1:18" x14ac:dyDescent="0.25">
      <c r="A20" s="1" t="s">
        <v>18</v>
      </c>
      <c r="B20" s="2" t="s">
        <v>8</v>
      </c>
      <c r="C20" s="9">
        <v>382</v>
      </c>
      <c r="D20" s="10">
        <f t="shared" si="0"/>
        <v>76.400000000000006</v>
      </c>
      <c r="E20" s="9">
        <v>17.899999999999999</v>
      </c>
      <c r="F20" s="11">
        <f t="shared" si="2"/>
        <v>4.6858638743455492</v>
      </c>
      <c r="G20" s="9">
        <v>10.6</v>
      </c>
      <c r="H20" s="9">
        <v>5.71</v>
      </c>
      <c r="I20" s="27">
        <f t="shared" si="11"/>
        <v>5.71</v>
      </c>
      <c r="J20" s="12" t="str">
        <f t="shared" si="3"/>
        <v>H1</v>
      </c>
      <c r="K20" s="12" t="str">
        <f>IF(F20&lt;5,"H1",IF(E20&lt;10,"AUH2","FED1"))</f>
        <v>H1</v>
      </c>
      <c r="L20" s="12" t="str">
        <f>IF(G20&gt;12.9,"H1",IF(G20&gt;11.4,"H2",IF(G20&gt;10.4,"APW","ASW")))</f>
        <v>APW</v>
      </c>
      <c r="M20" s="9"/>
      <c r="N20" s="13" t="s">
        <v>21</v>
      </c>
      <c r="O20" s="9">
        <v>243</v>
      </c>
      <c r="P20" s="9">
        <v>19.45</v>
      </c>
      <c r="Q20" s="14">
        <f t="shared" si="6"/>
        <v>1276.4705000000001</v>
      </c>
    </row>
    <row r="21" spans="1:18" x14ac:dyDescent="0.25">
      <c r="A21" s="3"/>
      <c r="B21" s="4" t="s">
        <v>12</v>
      </c>
      <c r="C21" s="15">
        <v>391</v>
      </c>
      <c r="D21" s="16">
        <f t="shared" si="0"/>
        <v>78.2</v>
      </c>
      <c r="E21" s="15">
        <v>7.1</v>
      </c>
      <c r="F21" s="17">
        <f t="shared" si="2"/>
        <v>1.8158567774936061</v>
      </c>
      <c r="G21" s="15">
        <v>11.8</v>
      </c>
      <c r="H21" s="15">
        <v>5.28</v>
      </c>
      <c r="I21" s="27">
        <f t="shared" si="11"/>
        <v>5.28</v>
      </c>
      <c r="J21" s="18" t="str">
        <f t="shared" si="3"/>
        <v>H1</v>
      </c>
      <c r="K21" s="18" t="str">
        <f>IF(F21&lt;5,"H1",IF(F21&lt;10,"AUH2","FED1"))</f>
        <v>H1</v>
      </c>
      <c r="L21" s="18" t="str">
        <f>IF(G21&gt;12.9,"H1",IF(G21&gt;11.4,"H2",IF(G21&gt;10.4,"APW","ASW")))</f>
        <v>H2</v>
      </c>
      <c r="M21" s="15"/>
      <c r="N21" s="19" t="s">
        <v>27</v>
      </c>
      <c r="O21" s="15">
        <v>248</v>
      </c>
      <c r="P21" s="15">
        <v>19.45</v>
      </c>
      <c r="Q21" s="20">
        <f t="shared" si="6"/>
        <v>1206.7440000000001</v>
      </c>
    </row>
    <row r="22" spans="1:18" x14ac:dyDescent="0.25">
      <c r="A22" s="3"/>
      <c r="B22" s="4" t="s">
        <v>10</v>
      </c>
      <c r="C22" s="15">
        <v>410.1</v>
      </c>
      <c r="D22" s="16">
        <f t="shared" si="0"/>
        <v>82.02000000000001</v>
      </c>
      <c r="E22" s="15">
        <v>8</v>
      </c>
      <c r="F22" s="17">
        <f t="shared" si="2"/>
        <v>1.9507437210436476</v>
      </c>
      <c r="G22" s="15">
        <v>10.6</v>
      </c>
      <c r="H22" s="15">
        <v>5.82</v>
      </c>
      <c r="I22" s="27">
        <f t="shared" si="11"/>
        <v>5.82</v>
      </c>
      <c r="J22" s="18" t="str">
        <f>IF(D22&gt;75,"APW",IF(D22&gt;70,"AUH2",IF(D22&gt;67,"AGP1","FED1")))</f>
        <v>APW</v>
      </c>
      <c r="K22" s="18" t="str">
        <f>IF(F22&lt;5,"H1",IF(F22&lt;10,"AUH2","FED1"))</f>
        <v>H1</v>
      </c>
      <c r="L22" s="18" t="str">
        <f>IF(G22&gt;12.9,"H1",IF(G22&gt;11.4,"H2",IF(G22&gt;10.4,"APW","ASW")))</f>
        <v>APW</v>
      </c>
      <c r="M22" s="15"/>
      <c r="N22" s="19" t="s">
        <v>21</v>
      </c>
      <c r="O22" s="15">
        <v>243</v>
      </c>
      <c r="P22" s="15">
        <v>19.45</v>
      </c>
      <c r="Q22" s="20">
        <f t="shared" si="6"/>
        <v>1301.0610000000001</v>
      </c>
    </row>
    <row r="23" spans="1:18" x14ac:dyDescent="0.25">
      <c r="A23" s="3"/>
      <c r="B23" s="4" t="s">
        <v>14</v>
      </c>
      <c r="C23" s="15">
        <v>403.8</v>
      </c>
      <c r="D23" s="16">
        <f t="shared" si="0"/>
        <v>80.760000000000005</v>
      </c>
      <c r="E23" s="15">
        <v>7.6</v>
      </c>
      <c r="F23" s="17">
        <f t="shared" si="2"/>
        <v>1.8821198613174839</v>
      </c>
      <c r="G23" s="15">
        <v>12.2</v>
      </c>
      <c r="H23" s="15">
        <v>5.15</v>
      </c>
      <c r="I23" s="27">
        <f t="shared" si="11"/>
        <v>5.15</v>
      </c>
      <c r="J23" s="18" t="str">
        <f t="shared" si="3"/>
        <v>H1</v>
      </c>
      <c r="K23" s="18" t="str">
        <f>IF(F23&lt;5,"H1",IF(F23&lt;10,"AUH2","FED1"))</f>
        <v>H1</v>
      </c>
      <c r="L23" s="18" t="str">
        <f>IF(G23&gt;12.9,"H1",IF(G23&gt;11.4,"H2",IF(G23&gt;10.4,"APW","ASW")))</f>
        <v>H2</v>
      </c>
      <c r="M23" s="15"/>
      <c r="N23" s="19" t="s">
        <v>27</v>
      </c>
      <c r="O23" s="15">
        <v>248</v>
      </c>
      <c r="P23" s="15">
        <v>19.45</v>
      </c>
      <c r="Q23" s="20">
        <f t="shared" si="6"/>
        <v>1177.0325</v>
      </c>
    </row>
    <row r="24" spans="1:18" x14ac:dyDescent="0.25">
      <c r="A24" s="3"/>
      <c r="B24" s="4" t="s">
        <v>9</v>
      </c>
      <c r="C24" s="15">
        <v>378.3</v>
      </c>
      <c r="D24" s="16">
        <f t="shared" si="0"/>
        <v>75.660000000000011</v>
      </c>
      <c r="E24" s="15">
        <v>14.2</v>
      </c>
      <c r="F24" s="17">
        <f t="shared" si="2"/>
        <v>3.753634681469733</v>
      </c>
      <c r="G24" s="15">
        <v>12.3</v>
      </c>
      <c r="H24" s="15">
        <v>3.98</v>
      </c>
      <c r="I24" s="27">
        <f t="shared" si="11"/>
        <v>3.98</v>
      </c>
      <c r="J24" s="18" t="str">
        <f>IF(D24&gt;75,"DR1",IF(D24&gt;70,"DR3",IF(D24&gt;67,"AGP1","FED1")))</f>
        <v>DR1</v>
      </c>
      <c r="K24" s="18" t="str">
        <f t="shared" si="8"/>
        <v>DR1</v>
      </c>
      <c r="L24" s="18" t="str">
        <f t="shared" si="9"/>
        <v>DR2</v>
      </c>
      <c r="M24" s="15"/>
      <c r="N24" s="19" t="s">
        <v>32</v>
      </c>
      <c r="O24" s="15">
        <v>400</v>
      </c>
      <c r="P24" s="15">
        <v>32.15</v>
      </c>
      <c r="Q24" s="20">
        <f t="shared" si="6"/>
        <v>1464.0430000000001</v>
      </c>
    </row>
    <row r="25" spans="1:18" x14ac:dyDescent="0.25">
      <c r="A25" s="3"/>
      <c r="B25" s="4" t="s">
        <v>11</v>
      </c>
      <c r="C25" s="15">
        <v>398.5</v>
      </c>
      <c r="D25" s="16">
        <f t="shared" si="0"/>
        <v>79.7</v>
      </c>
      <c r="E25" s="15">
        <v>9.5</v>
      </c>
      <c r="F25" s="17">
        <f t="shared" si="2"/>
        <v>2.3839397741530743</v>
      </c>
      <c r="G25" s="15">
        <v>13.9</v>
      </c>
      <c r="H25" s="15">
        <v>3.11</v>
      </c>
      <c r="I25" s="27">
        <f t="shared" si="11"/>
        <v>3.11</v>
      </c>
      <c r="J25" s="18" t="str">
        <f t="shared" ref="J25:J27" si="14">IF(D25&gt;75,"DR1",IF(D25&gt;70,"DR3",IF(D25&gt;67,"AGP1","FED1")))</f>
        <v>DR1</v>
      </c>
      <c r="K25" s="18" t="str">
        <f t="shared" si="8"/>
        <v>DR1</v>
      </c>
      <c r="L25" s="18" t="str">
        <f t="shared" si="9"/>
        <v>DR1</v>
      </c>
      <c r="M25" s="15"/>
      <c r="N25" s="19" t="s">
        <v>33</v>
      </c>
      <c r="O25" s="15">
        <v>420</v>
      </c>
      <c r="P25" s="15">
        <v>32.15</v>
      </c>
      <c r="Q25" s="20">
        <f t="shared" si="6"/>
        <v>1206.2135000000001</v>
      </c>
    </row>
    <row r="26" spans="1:18" x14ac:dyDescent="0.25">
      <c r="A26" s="3"/>
      <c r="B26" s="4" t="s">
        <v>13</v>
      </c>
      <c r="C26" s="15">
        <v>394.3</v>
      </c>
      <c r="D26" s="16">
        <f t="shared" si="0"/>
        <v>78.86</v>
      </c>
      <c r="E26" s="15">
        <v>7</v>
      </c>
      <c r="F26" s="17">
        <f t="shared" si="2"/>
        <v>1.7752979964494038</v>
      </c>
      <c r="G26" s="15">
        <v>13.4</v>
      </c>
      <c r="H26" s="15">
        <v>3.8</v>
      </c>
      <c r="I26" s="27">
        <f t="shared" si="11"/>
        <v>3.8</v>
      </c>
      <c r="J26" s="18" t="str">
        <f t="shared" si="14"/>
        <v>DR1</v>
      </c>
      <c r="K26" s="18" t="str">
        <f t="shared" si="8"/>
        <v>DR1</v>
      </c>
      <c r="L26" s="18" t="str">
        <f t="shared" si="9"/>
        <v>DR1</v>
      </c>
      <c r="M26" s="15"/>
      <c r="N26" s="19" t="s">
        <v>33</v>
      </c>
      <c r="O26" s="15">
        <v>420</v>
      </c>
      <c r="P26" s="15">
        <v>32.15</v>
      </c>
      <c r="Q26" s="20">
        <f t="shared" si="6"/>
        <v>1473.83</v>
      </c>
    </row>
    <row r="27" spans="1:18" x14ac:dyDescent="0.25">
      <c r="A27" s="5"/>
      <c r="B27" s="6" t="s">
        <v>15</v>
      </c>
      <c r="C27" s="21">
        <v>404.7</v>
      </c>
      <c r="D27" s="22">
        <f t="shared" si="0"/>
        <v>80.94</v>
      </c>
      <c r="E27" s="21">
        <v>7.2</v>
      </c>
      <c r="F27" s="23">
        <f t="shared" si="2"/>
        <v>1.7790956263899185</v>
      </c>
      <c r="G27" s="21">
        <v>13.2</v>
      </c>
      <c r="H27" s="21">
        <v>3.38</v>
      </c>
      <c r="I27" s="28">
        <f t="shared" si="11"/>
        <v>3.38</v>
      </c>
      <c r="J27" s="24" t="str">
        <f t="shared" si="14"/>
        <v>DR1</v>
      </c>
      <c r="K27" s="24" t="str">
        <f t="shared" si="8"/>
        <v>DR1</v>
      </c>
      <c r="L27" s="24" t="str">
        <f t="shared" si="9"/>
        <v>DR1</v>
      </c>
      <c r="M27" s="21"/>
      <c r="N27" s="25" t="s">
        <v>33</v>
      </c>
      <c r="O27" s="21">
        <v>420</v>
      </c>
      <c r="P27" s="21">
        <v>32.15</v>
      </c>
      <c r="Q27" s="26">
        <f t="shared" si="6"/>
        <v>1310.933</v>
      </c>
    </row>
    <row r="28" spans="1:18" x14ac:dyDescent="0.25">
      <c r="A28" s="1" t="s">
        <v>17</v>
      </c>
      <c r="B28" s="2" t="s">
        <v>8</v>
      </c>
      <c r="C28" s="9">
        <v>357</v>
      </c>
      <c r="D28" s="10">
        <f>(C28/500)*100</f>
        <v>71.399999999999991</v>
      </c>
      <c r="E28" s="9">
        <v>11.4</v>
      </c>
      <c r="F28" s="11">
        <f t="shared" si="2"/>
        <v>3.1932773109243695</v>
      </c>
      <c r="G28" s="9">
        <v>11.4</v>
      </c>
      <c r="H28" s="9">
        <v>4.12</v>
      </c>
      <c r="I28" s="27">
        <f t="shared" si="11"/>
        <v>4.12</v>
      </c>
      <c r="J28" s="12" t="str">
        <f t="shared" si="3"/>
        <v>AUH2</v>
      </c>
      <c r="K28" s="12" t="str">
        <f>IF(F28&lt;5,"H1",IF(F28&lt;10,"AUH2","FED1"))</f>
        <v>H1</v>
      </c>
      <c r="L28" s="12" t="str">
        <f>IF(G28&gt;12.9,"H1",IF(G28&gt;11.4,"H2",IF(G28&gt;10.4,"APW","ASW")))</f>
        <v>APW</v>
      </c>
      <c r="M28" s="9"/>
      <c r="N28" s="13" t="s">
        <v>21</v>
      </c>
      <c r="O28" s="9">
        <v>242</v>
      </c>
      <c r="P28" s="9">
        <v>35.67</v>
      </c>
      <c r="Q28" s="14">
        <f t="shared" si="6"/>
        <v>850.07959999999991</v>
      </c>
    </row>
    <row r="29" spans="1:18" x14ac:dyDescent="0.25">
      <c r="A29" s="3"/>
      <c r="B29" s="4" t="s">
        <v>12</v>
      </c>
      <c r="C29" s="15">
        <v>373</v>
      </c>
      <c r="D29" s="16">
        <f t="shared" ref="D29:D43" si="15">(C29/500)*100</f>
        <v>74.599999999999994</v>
      </c>
      <c r="E29" s="15">
        <v>7.2</v>
      </c>
      <c r="F29" s="17">
        <f t="shared" si="2"/>
        <v>1.93029490616622</v>
      </c>
      <c r="G29" s="15">
        <v>10.4</v>
      </c>
      <c r="H29" s="15">
        <v>3.83</v>
      </c>
      <c r="I29" s="27">
        <f t="shared" si="11"/>
        <v>3.83</v>
      </c>
      <c r="J29" s="18" t="str">
        <f t="shared" si="3"/>
        <v>AUH2</v>
      </c>
      <c r="K29" s="18" t="str">
        <f>IF(F29&lt;5,"H1",IF(F29&lt;10,"AUH2","FED1"))</f>
        <v>H1</v>
      </c>
      <c r="L29" s="18" t="str">
        <f>IF(G29&gt;12.9,"H1",IF(G29&gt;11.4,"H2",IF(G29&gt;10.4,"APW","ASW")))</f>
        <v>ASW</v>
      </c>
      <c r="M29" s="15"/>
      <c r="N29" s="19" t="s">
        <v>29</v>
      </c>
      <c r="O29" s="15">
        <v>238</v>
      </c>
      <c r="P29" s="15">
        <v>35.67</v>
      </c>
      <c r="Q29" s="20">
        <f t="shared" si="6"/>
        <v>774.9239</v>
      </c>
    </row>
    <row r="30" spans="1:18" x14ac:dyDescent="0.25">
      <c r="A30" s="3"/>
      <c r="B30" s="4" t="s">
        <v>10</v>
      </c>
      <c r="C30" s="15">
        <v>358</v>
      </c>
      <c r="D30" s="16">
        <f t="shared" si="15"/>
        <v>71.599999999999994</v>
      </c>
      <c r="E30" s="15">
        <v>16.2</v>
      </c>
      <c r="F30" s="17">
        <f t="shared" si="2"/>
        <v>4.5251396648044695</v>
      </c>
      <c r="G30" s="15">
        <v>10.6</v>
      </c>
      <c r="H30" s="15">
        <v>4.22</v>
      </c>
      <c r="I30" s="27">
        <f t="shared" si="11"/>
        <v>4.22</v>
      </c>
      <c r="J30" s="18" t="str">
        <f>IF(D30&gt;75,"APW",IF(D30&gt;70,"AUH2",IF(D30&gt;67,"AGP1","FED1")))</f>
        <v>AUH2</v>
      </c>
      <c r="K30" s="18" t="str">
        <f>IF(F30&lt;5,"H1",IF(F30&lt;10,"AUH2","FED1"))</f>
        <v>H1</v>
      </c>
      <c r="L30" s="18" t="str">
        <f>IF(G30&gt;12.9,"H1",IF(G30&gt;11.4,"H2",IF(G30&gt;10.4,"APW","ASW")))</f>
        <v>APW</v>
      </c>
      <c r="M30" s="15"/>
      <c r="N30" s="19" t="s">
        <v>21</v>
      </c>
      <c r="O30" s="15">
        <v>242</v>
      </c>
      <c r="P30" s="15">
        <v>35.67</v>
      </c>
      <c r="Q30" s="20">
        <f t="shared" si="6"/>
        <v>870.71259999999984</v>
      </c>
    </row>
    <row r="31" spans="1:18" x14ac:dyDescent="0.25">
      <c r="A31" s="3"/>
      <c r="B31" s="4" t="s">
        <v>14</v>
      </c>
      <c r="C31" s="15">
        <v>387</v>
      </c>
      <c r="D31" s="16">
        <f t="shared" si="15"/>
        <v>77.400000000000006</v>
      </c>
      <c r="E31" s="15">
        <v>20.2</v>
      </c>
      <c r="F31" s="17">
        <f t="shared" si="2"/>
        <v>5.2196382428940566</v>
      </c>
      <c r="G31" s="15">
        <v>11.1</v>
      </c>
      <c r="H31" s="15">
        <v>4.1500000000000004</v>
      </c>
      <c r="I31" s="27">
        <f t="shared" si="11"/>
        <v>4.1408850129198971</v>
      </c>
      <c r="J31" s="18" t="str">
        <f t="shared" si="3"/>
        <v>H1</v>
      </c>
      <c r="K31" s="18" t="str">
        <f>IF(F31&lt;5,"H1",IF(F31&lt;10,"AUH2","FED1"))</f>
        <v>AUH2</v>
      </c>
      <c r="L31" s="18" t="str">
        <f>IF(G31&gt;12.9,"H1",IF(G31&gt;11.4,"H2",IF(G31&gt;10.4,"APW","ASW")))</f>
        <v>APW</v>
      </c>
      <c r="M31" s="15"/>
      <c r="N31" s="19" t="s">
        <v>21</v>
      </c>
      <c r="O31" s="15">
        <v>242</v>
      </c>
      <c r="P31" s="15">
        <v>35.67</v>
      </c>
      <c r="Q31" s="20">
        <f t="shared" si="6"/>
        <v>856.26949999999999</v>
      </c>
    </row>
    <row r="32" spans="1:18" x14ac:dyDescent="0.25">
      <c r="A32" s="3"/>
      <c r="B32" s="4" t="s">
        <v>9</v>
      </c>
      <c r="C32" s="15">
        <v>326</v>
      </c>
      <c r="D32" s="16">
        <f t="shared" si="15"/>
        <v>65.2</v>
      </c>
      <c r="E32" s="15">
        <v>43</v>
      </c>
      <c r="F32" s="17">
        <f t="shared" si="2"/>
        <v>13.190184049079754</v>
      </c>
      <c r="G32" s="15">
        <v>12.5</v>
      </c>
      <c r="H32" s="15">
        <v>2.87</v>
      </c>
      <c r="I32" s="27">
        <f t="shared" si="11"/>
        <v>2.6349417177914107</v>
      </c>
      <c r="J32" s="18" t="str">
        <f>IF(D32&gt;75,"DR1",IF(D32&gt;70,"DR3",IF(D32&gt;67,"AGP1","FED1")))</f>
        <v>FED1</v>
      </c>
      <c r="K32" s="18" t="str">
        <f t="shared" si="8"/>
        <v>FED1</v>
      </c>
      <c r="L32" s="18" t="str">
        <f t="shared" si="9"/>
        <v>DR2</v>
      </c>
      <c r="M32" s="15"/>
      <c r="N32" s="19" t="s">
        <v>35</v>
      </c>
      <c r="O32" s="15">
        <v>214</v>
      </c>
      <c r="P32" s="15">
        <v>32.15</v>
      </c>
      <c r="Q32" s="20">
        <f t="shared" si="6"/>
        <v>521.90949999999998</v>
      </c>
    </row>
    <row r="33" spans="1:17" x14ac:dyDescent="0.25">
      <c r="A33" s="3"/>
      <c r="B33" s="4" t="s">
        <v>11</v>
      </c>
      <c r="C33" s="15">
        <v>336</v>
      </c>
      <c r="D33" s="16">
        <f t="shared" si="15"/>
        <v>67.2</v>
      </c>
      <c r="E33" s="15">
        <v>18.7</v>
      </c>
      <c r="F33" s="17">
        <f t="shared" si="2"/>
        <v>5.5654761904761898</v>
      </c>
      <c r="G33" s="15">
        <v>13.6</v>
      </c>
      <c r="H33" s="15">
        <v>2.99</v>
      </c>
      <c r="I33" s="27">
        <f t="shared" si="11"/>
        <v>2.9730922619047622</v>
      </c>
      <c r="J33" s="18" t="str">
        <f t="shared" ref="J33:J35" si="16">IF(D33&gt;75,"DR1",IF(D33&gt;70,"DR3",IF(D33&gt;67,"AGP1","FED1")))</f>
        <v>AGP1</v>
      </c>
      <c r="K33" s="18" t="str">
        <f t="shared" si="8"/>
        <v>DR3</v>
      </c>
      <c r="L33" s="18" t="str">
        <f t="shared" si="9"/>
        <v>DR1</v>
      </c>
      <c r="M33" s="15"/>
      <c r="N33" s="19" t="s">
        <v>34</v>
      </c>
      <c r="O33" s="15">
        <v>234</v>
      </c>
      <c r="P33" s="15">
        <v>32.15</v>
      </c>
      <c r="Q33" s="20">
        <f t="shared" si="6"/>
        <v>603.53150000000005</v>
      </c>
    </row>
    <row r="34" spans="1:17" x14ac:dyDescent="0.25">
      <c r="A34" s="3"/>
      <c r="B34" s="4" t="s">
        <v>13</v>
      </c>
      <c r="C34" s="15">
        <v>342</v>
      </c>
      <c r="D34" s="16">
        <f t="shared" si="15"/>
        <v>68.400000000000006</v>
      </c>
      <c r="E34" s="15">
        <v>20.2</v>
      </c>
      <c r="F34" s="17">
        <f t="shared" si="2"/>
        <v>5.9064327485380117</v>
      </c>
      <c r="G34" s="15">
        <v>12.3</v>
      </c>
      <c r="H34" s="15">
        <v>2.91</v>
      </c>
      <c r="I34" s="27">
        <f t="shared" si="11"/>
        <v>2.8836228070175438</v>
      </c>
      <c r="J34" s="18" t="str">
        <f t="shared" si="16"/>
        <v>AGP1</v>
      </c>
      <c r="K34" s="18" t="str">
        <f t="shared" si="8"/>
        <v>DR3</v>
      </c>
      <c r="L34" s="18" t="str">
        <f t="shared" si="9"/>
        <v>DR2</v>
      </c>
      <c r="M34" s="15"/>
      <c r="N34" s="19" t="s">
        <v>34</v>
      </c>
      <c r="O34" s="15">
        <v>234</v>
      </c>
      <c r="P34" s="15">
        <v>32.15</v>
      </c>
      <c r="Q34" s="20">
        <f t="shared" si="6"/>
        <v>587.38350000000003</v>
      </c>
    </row>
    <row r="35" spans="1:17" x14ac:dyDescent="0.25">
      <c r="A35" s="5"/>
      <c r="B35" s="6" t="s">
        <v>15</v>
      </c>
      <c r="C35" s="21">
        <v>352</v>
      </c>
      <c r="D35" s="22">
        <f t="shared" si="15"/>
        <v>70.399999999999991</v>
      </c>
      <c r="E35" s="21">
        <v>17.2</v>
      </c>
      <c r="F35" s="23">
        <f t="shared" si="2"/>
        <v>4.8863636363636358</v>
      </c>
      <c r="G35" s="21">
        <v>14</v>
      </c>
      <c r="H35" s="21">
        <v>2.81</v>
      </c>
      <c r="I35" s="28">
        <f t="shared" si="11"/>
        <v>2.81</v>
      </c>
      <c r="J35" s="24" t="str">
        <f t="shared" si="16"/>
        <v>DR3</v>
      </c>
      <c r="K35" s="24" t="str">
        <f t="shared" si="8"/>
        <v>DR1</v>
      </c>
      <c r="L35" s="24" t="str">
        <f t="shared" si="9"/>
        <v>DR1</v>
      </c>
      <c r="M35" s="21"/>
      <c r="N35" s="25" t="s">
        <v>31</v>
      </c>
      <c r="O35" s="21">
        <v>350</v>
      </c>
      <c r="P35" s="21">
        <v>32.15</v>
      </c>
      <c r="Q35" s="26">
        <f t="shared" si="6"/>
        <v>893.15850000000012</v>
      </c>
    </row>
    <row r="36" spans="1:17" x14ac:dyDescent="0.25">
      <c r="A36" s="1" t="s">
        <v>16</v>
      </c>
      <c r="B36" s="2" t="s">
        <v>8</v>
      </c>
      <c r="C36" s="9">
        <v>378</v>
      </c>
      <c r="D36" s="10">
        <f t="shared" si="15"/>
        <v>75.599999999999994</v>
      </c>
      <c r="E36" s="9">
        <v>10.9</v>
      </c>
      <c r="F36" s="11">
        <f t="shared" si="2"/>
        <v>2.8835978835978837</v>
      </c>
      <c r="G36" s="9">
        <v>10.1</v>
      </c>
      <c r="H36" s="9">
        <v>5.93</v>
      </c>
      <c r="I36" s="27">
        <f t="shared" si="11"/>
        <v>5.93</v>
      </c>
      <c r="J36" s="12" t="str">
        <f t="shared" si="3"/>
        <v>H1</v>
      </c>
      <c r="K36" s="12" t="str">
        <f>IF(F36&lt;5,"H1",IF(F36&lt;10,"AUH2","FED1"))</f>
        <v>H1</v>
      </c>
      <c r="L36" s="12" t="str">
        <f>IF(G36&gt;12.9,"H1",IF(G36&gt;11.4,"H2",IF(G36&gt;10.4,"APW","ASW")))</f>
        <v>ASW</v>
      </c>
      <c r="M36" s="9"/>
      <c r="N36" s="13" t="s">
        <v>29</v>
      </c>
      <c r="O36" s="9">
        <v>250</v>
      </c>
      <c r="P36" s="9">
        <v>26.68</v>
      </c>
      <c r="Q36" s="14">
        <f t="shared" si="6"/>
        <v>1324.2875999999999</v>
      </c>
    </row>
    <row r="37" spans="1:17" x14ac:dyDescent="0.25">
      <c r="A37" s="3"/>
      <c r="B37" s="4" t="s">
        <v>12</v>
      </c>
      <c r="C37" s="15">
        <v>321</v>
      </c>
      <c r="D37" s="16">
        <f t="shared" si="15"/>
        <v>64.2</v>
      </c>
      <c r="E37" s="15">
        <v>11.5</v>
      </c>
      <c r="F37" s="17">
        <f t="shared" si="2"/>
        <v>3.5825545171339561</v>
      </c>
      <c r="G37" s="15">
        <v>10.199999999999999</v>
      </c>
      <c r="H37" s="15">
        <v>5.21</v>
      </c>
      <c r="I37" s="27">
        <f t="shared" si="11"/>
        <v>5.21</v>
      </c>
      <c r="J37" s="18" t="str">
        <f t="shared" si="3"/>
        <v>FED1</v>
      </c>
      <c r="K37" s="18" t="str">
        <f>IF(F37&lt;5,"H1",IF(F37&lt;10,"AUH2","FED1"))</f>
        <v>H1</v>
      </c>
      <c r="L37" s="18" t="str">
        <f>IF(G37&gt;12.9,"H1",IF(G37&gt;11.4,"H2",IF(G37&gt;10.4,"APW","ASW")))</f>
        <v>ASW</v>
      </c>
      <c r="M37" s="15"/>
      <c r="N37" s="19" t="s">
        <v>35</v>
      </c>
      <c r="O37" s="15">
        <v>207</v>
      </c>
      <c r="P37" s="15">
        <v>26.68</v>
      </c>
      <c r="Q37" s="20">
        <f t="shared" si="6"/>
        <v>939.46719999999993</v>
      </c>
    </row>
    <row r="38" spans="1:17" x14ac:dyDescent="0.25">
      <c r="A38" s="3"/>
      <c r="B38" s="4" t="s">
        <v>10</v>
      </c>
      <c r="C38" s="15">
        <v>391</v>
      </c>
      <c r="D38" s="16">
        <f t="shared" si="15"/>
        <v>78.2</v>
      </c>
      <c r="E38" s="15">
        <v>8.6999999999999993</v>
      </c>
      <c r="F38" s="17">
        <f t="shared" si="2"/>
        <v>2.2250639386189257</v>
      </c>
      <c r="G38" s="15">
        <v>9.6</v>
      </c>
      <c r="H38" s="15">
        <v>6.4</v>
      </c>
      <c r="I38" s="27">
        <f t="shared" si="11"/>
        <v>6.4</v>
      </c>
      <c r="J38" s="18" t="str">
        <f>IF(D38&gt;75,"APW",IF(D38&gt;70,"AUH2",IF(D38&gt;67,"AGP1","FED1")))</f>
        <v>APW</v>
      </c>
      <c r="K38" s="18" t="str">
        <f>IF(F38&lt;5,"H1",IF(F38&lt;10,"AUH2","FED1"))</f>
        <v>H1</v>
      </c>
      <c r="L38" s="18" t="str">
        <f>IF(G38&gt;12.9,"H1",IF(G38&gt;11.4,"H2",IF(G38&gt;10.4,"APW","ASW")))</f>
        <v>ASW</v>
      </c>
      <c r="M38" s="15"/>
      <c r="N38" s="19" t="s">
        <v>29</v>
      </c>
      <c r="O38" s="15">
        <v>250</v>
      </c>
      <c r="P38" s="15">
        <v>26.68</v>
      </c>
      <c r="Q38" s="20">
        <f t="shared" si="6"/>
        <v>1429.248</v>
      </c>
    </row>
    <row r="39" spans="1:17" x14ac:dyDescent="0.25">
      <c r="A39" s="3"/>
      <c r="B39" s="4" t="s">
        <v>14</v>
      </c>
      <c r="C39" s="15">
        <v>372</v>
      </c>
      <c r="D39" s="16">
        <f t="shared" si="15"/>
        <v>74.400000000000006</v>
      </c>
      <c r="E39" s="15">
        <v>18</v>
      </c>
      <c r="F39" s="17">
        <f t="shared" si="2"/>
        <v>4.838709677419355</v>
      </c>
      <c r="G39" s="15">
        <v>10.3</v>
      </c>
      <c r="H39" s="15">
        <v>5.75</v>
      </c>
      <c r="I39" s="27">
        <f t="shared" si="11"/>
        <v>5.75</v>
      </c>
      <c r="J39" s="18" t="str">
        <f t="shared" si="3"/>
        <v>AUH2</v>
      </c>
      <c r="K39" s="18" t="str">
        <f>IF(F39&lt;5,"H1",IF(F39&lt;10,"AUH2","FED1"))</f>
        <v>H1</v>
      </c>
      <c r="L39" s="18" t="str">
        <f>IF(G39&gt;12.9,"H1",IF(G39&gt;11.4,"H2",IF(G39&gt;10.4,"APW","ASW")))</f>
        <v>ASW</v>
      </c>
      <c r="M39" s="15"/>
      <c r="N39" s="19" t="s">
        <v>29</v>
      </c>
      <c r="O39" s="15">
        <v>250</v>
      </c>
      <c r="P39" s="15">
        <v>26.68</v>
      </c>
      <c r="Q39" s="20">
        <f t="shared" si="6"/>
        <v>1284.0899999999999</v>
      </c>
    </row>
    <row r="40" spans="1:17" x14ac:dyDescent="0.25">
      <c r="A40" s="3"/>
      <c r="B40" s="4" t="s">
        <v>9</v>
      </c>
      <c r="C40" s="15">
        <v>357</v>
      </c>
      <c r="D40" s="16">
        <f t="shared" si="15"/>
        <v>71.399999999999991</v>
      </c>
      <c r="E40" s="15">
        <v>9.1999999999999993</v>
      </c>
      <c r="F40" s="17">
        <f t="shared" si="2"/>
        <v>2.5770308123249297</v>
      </c>
      <c r="G40" s="15">
        <v>10</v>
      </c>
      <c r="H40" s="15">
        <v>5.28</v>
      </c>
      <c r="I40" s="27">
        <f t="shared" si="11"/>
        <v>5.28</v>
      </c>
      <c r="J40" s="18" t="str">
        <f>IF(D40&gt;75,"DR1",IF(D40&gt;70,"DR3",IF(D40&gt;67,"AGP1","FED1")))</f>
        <v>DR3</v>
      </c>
      <c r="K40" s="18" t="str">
        <f t="shared" si="8"/>
        <v>DR1</v>
      </c>
      <c r="L40" s="18" t="str">
        <f t="shared" si="9"/>
        <v>DR3</v>
      </c>
      <c r="M40" s="15"/>
      <c r="N40" s="19" t="s">
        <v>31</v>
      </c>
      <c r="O40" s="15">
        <v>350</v>
      </c>
      <c r="P40" s="15">
        <v>52.35</v>
      </c>
      <c r="Q40" s="20">
        <f t="shared" si="6"/>
        <v>1571.5919999999999</v>
      </c>
    </row>
    <row r="41" spans="1:17" x14ac:dyDescent="0.25">
      <c r="A41" s="3"/>
      <c r="B41" s="4" t="s">
        <v>11</v>
      </c>
      <c r="C41" s="15">
        <v>395</v>
      </c>
      <c r="D41" s="16">
        <f t="shared" si="15"/>
        <v>79</v>
      </c>
      <c r="E41" s="15">
        <v>11</v>
      </c>
      <c r="F41" s="17">
        <f t="shared" si="2"/>
        <v>2.7848101265822782</v>
      </c>
      <c r="G41" s="15">
        <v>12.6</v>
      </c>
      <c r="H41" s="15">
        <v>4.08</v>
      </c>
      <c r="I41" s="27">
        <f t="shared" si="11"/>
        <v>4.08</v>
      </c>
      <c r="J41" s="18" t="str">
        <f t="shared" ref="J41:J43" si="17">IF(D41&gt;75,"DR1",IF(D41&gt;70,"DR3",IF(D41&gt;67,"AGP1","FED1")))</f>
        <v>DR1</v>
      </c>
      <c r="K41" s="18" t="str">
        <f t="shared" si="8"/>
        <v>DR1</v>
      </c>
      <c r="L41" s="18" t="str">
        <f t="shared" si="9"/>
        <v>DR2</v>
      </c>
      <c r="M41" s="15"/>
      <c r="N41" s="19" t="s">
        <v>32</v>
      </c>
      <c r="O41" s="15">
        <v>400</v>
      </c>
      <c r="P41" s="15">
        <v>52.35</v>
      </c>
      <c r="Q41" s="20">
        <f t="shared" si="6"/>
        <v>1418.412</v>
      </c>
    </row>
    <row r="42" spans="1:17" x14ac:dyDescent="0.25">
      <c r="A42" s="3"/>
      <c r="B42" s="4" t="s">
        <v>13</v>
      </c>
      <c r="C42" s="15">
        <v>364</v>
      </c>
      <c r="D42" s="16">
        <f t="shared" si="15"/>
        <v>72.8</v>
      </c>
      <c r="E42" s="15">
        <v>7.3</v>
      </c>
      <c r="F42" s="17">
        <f t="shared" si="2"/>
        <v>2.0054945054945055</v>
      </c>
      <c r="G42" s="15">
        <v>10.6</v>
      </c>
      <c r="H42" s="15">
        <v>4.8</v>
      </c>
      <c r="I42" s="27">
        <f t="shared" si="11"/>
        <v>4.8</v>
      </c>
      <c r="J42" s="18" t="str">
        <f t="shared" si="17"/>
        <v>DR3</v>
      </c>
      <c r="K42" s="18" t="str">
        <f t="shared" si="8"/>
        <v>DR1</v>
      </c>
      <c r="L42" s="18" t="str">
        <f t="shared" si="9"/>
        <v>DR3</v>
      </c>
      <c r="M42" s="15"/>
      <c r="N42" s="19" t="s">
        <v>31</v>
      </c>
      <c r="O42" s="15">
        <v>350</v>
      </c>
      <c r="P42" s="15">
        <v>52.35</v>
      </c>
      <c r="Q42" s="20">
        <f t="shared" si="6"/>
        <v>1428.7199999999998</v>
      </c>
    </row>
    <row r="43" spans="1:17" x14ac:dyDescent="0.25">
      <c r="A43" s="5"/>
      <c r="B43" s="6" t="s">
        <v>15</v>
      </c>
      <c r="C43" s="21">
        <v>397</v>
      </c>
      <c r="D43" s="22">
        <f t="shared" si="15"/>
        <v>79.400000000000006</v>
      </c>
      <c r="E43" s="21">
        <v>7.5</v>
      </c>
      <c r="F43" s="23">
        <f t="shared" si="2"/>
        <v>1.8891687657430731</v>
      </c>
      <c r="G43" s="21">
        <v>10.8</v>
      </c>
      <c r="H43" s="21">
        <v>4.93</v>
      </c>
      <c r="I43" s="27">
        <f t="shared" si="11"/>
        <v>4.93</v>
      </c>
      <c r="J43" s="24" t="str">
        <f t="shared" si="17"/>
        <v>DR1</v>
      </c>
      <c r="K43" s="24" t="str">
        <f t="shared" si="8"/>
        <v>DR1</v>
      </c>
      <c r="L43" s="24" t="str">
        <f t="shared" si="9"/>
        <v>DR3</v>
      </c>
      <c r="M43" s="21"/>
      <c r="N43" s="25" t="s">
        <v>31</v>
      </c>
      <c r="O43" s="21">
        <v>350</v>
      </c>
      <c r="P43" s="21">
        <v>52.35</v>
      </c>
      <c r="Q43" s="26">
        <f t="shared" si="6"/>
        <v>1467.4144999999999</v>
      </c>
    </row>
  </sheetData>
  <sheetProtection algorithmName="SHA-512" hashValue="IU2Q9k1DNhcxrz4m1SFU7AApnwxxqMWugg121llWFgm3LDaViFqgNwBSKumBq9+o1tFLH+17rai1+HtwXSDiVg==" saltValue="ZOn09uf+9CTmK5CkNMB1Lg==" spinCount="100000" sheet="1" objects="1" scenarios="1"/>
  <pageMargins left="0.7" right="0.7" top="0.75" bottom="0.75" header="0.3" footer="0.3"/>
  <pageSetup paperSize="9" orientation="portrait" verticalDpi="0" r:id="rId1"/>
  <ignoredErrors>
    <ignoredError sqref="J6 J14 J22 J30 J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148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2.81</v>
      </c>
    </row>
    <row r="4" spans="1:13" x14ac:dyDescent="0.25">
      <c r="C4" s="36">
        <f>QUALITY!H35</f>
        <v>2.81</v>
      </c>
      <c r="D4" s="37"/>
      <c r="E4" s="37">
        <f>QUALITY!O35</f>
        <v>350</v>
      </c>
      <c r="F4" s="37"/>
      <c r="H4" s="37">
        <f>E4*C4</f>
        <v>983.5</v>
      </c>
      <c r="K4" s="35" t="s">
        <v>46</v>
      </c>
      <c r="L4">
        <f>L3-L6</f>
        <v>2.81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140</v>
      </c>
      <c r="C10">
        <f>C4</f>
        <v>2.81</v>
      </c>
      <c r="E10" s="37">
        <f>QUALITY!P35</f>
        <v>32.15</v>
      </c>
      <c r="H10" s="47">
        <f>E10*C10</f>
        <v>90.341499999999996</v>
      </c>
      <c r="K10" s="35" t="s">
        <v>49</v>
      </c>
      <c r="L10">
        <f>L4*E4</f>
        <v>983.5</v>
      </c>
    </row>
    <row r="11" spans="1:13" x14ac:dyDescent="0.25">
      <c r="A11" t="s">
        <v>149</v>
      </c>
      <c r="C11">
        <f>C4</f>
        <v>2.81</v>
      </c>
      <c r="E11" s="37">
        <v>0</v>
      </c>
      <c r="H11" s="47">
        <f>E11*C11</f>
        <v>0</v>
      </c>
      <c r="K11" s="35" t="s">
        <v>50</v>
      </c>
      <c r="L11">
        <f>L4*E15</f>
        <v>90.341499999999996</v>
      </c>
    </row>
    <row r="12" spans="1:13" x14ac:dyDescent="0.25">
      <c r="A12" t="s">
        <v>150</v>
      </c>
      <c r="C12">
        <f>C4</f>
        <v>2.81</v>
      </c>
      <c r="E12" s="37">
        <v>0</v>
      </c>
      <c r="H12" s="47">
        <f>E12*C12</f>
        <v>0</v>
      </c>
      <c r="K12" s="35"/>
    </row>
    <row r="13" spans="1:13" x14ac:dyDescent="0.25">
      <c r="A13">
        <v>4</v>
      </c>
      <c r="C13">
        <f>C4</f>
        <v>2.81</v>
      </c>
      <c r="E13" s="37">
        <v>0</v>
      </c>
      <c r="H13" s="47">
        <f>E13*C13</f>
        <v>0</v>
      </c>
      <c r="K13" s="35" t="s">
        <v>51</v>
      </c>
      <c r="L13">
        <f>L10-L11</f>
        <v>893.1585</v>
      </c>
    </row>
    <row r="14" spans="1:13" x14ac:dyDescent="0.25">
      <c r="H14" s="47"/>
      <c r="K14" s="35"/>
    </row>
    <row r="15" spans="1:13" x14ac:dyDescent="0.25">
      <c r="C15" s="33" t="s">
        <v>52</v>
      </c>
      <c r="E15">
        <f>SUM(E10:E13)</f>
        <v>32.15</v>
      </c>
      <c r="H15" s="47">
        <f>SUM(H10:H13)</f>
        <v>90.341499999999996</v>
      </c>
      <c r="K15" s="35" t="s">
        <v>53</v>
      </c>
      <c r="L15">
        <f>L13*M15</f>
        <v>893.1585</v>
      </c>
      <c r="M15" s="38">
        <v>1</v>
      </c>
    </row>
    <row r="16" spans="1:13" x14ac:dyDescent="0.25">
      <c r="H16" s="47"/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317.85000000000002</v>
      </c>
      <c r="H17" s="47">
        <f>H4-H15</f>
        <v>893.1585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80</v>
      </c>
      <c r="D22" t="s">
        <v>63</v>
      </c>
      <c r="E22" s="37">
        <f>E4/1000</f>
        <v>0.35</v>
      </c>
      <c r="F22" t="s">
        <v>64</v>
      </c>
      <c r="H22">
        <f>C22*E22</f>
        <v>28</v>
      </c>
      <c r="I22" s="37"/>
      <c r="L22" s="39">
        <f>H22*$L$1</f>
        <v>28</v>
      </c>
    </row>
    <row r="23" spans="1:13" x14ac:dyDescent="0.25">
      <c r="A23" t="s">
        <v>65</v>
      </c>
      <c r="C23" s="37">
        <v>0</v>
      </c>
      <c r="D23" t="s">
        <v>63</v>
      </c>
      <c r="E23" s="37">
        <f>'COO BR'!E23</f>
        <v>50</v>
      </c>
      <c r="F23" t="s">
        <v>64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66</v>
      </c>
      <c r="B24" s="40" t="str">
        <f>'COO BR'!B24</f>
        <v>DAP</v>
      </c>
      <c r="C24" s="37"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tr">
        <f>'COO BR'!B25</f>
        <v>UAN</v>
      </c>
      <c r="C25" s="37">
        <v>0</v>
      </c>
      <c r="D25" t="s">
        <v>69</v>
      </c>
      <c r="E25" s="37">
        <f>'COO BR'!E25</f>
        <v>750</v>
      </c>
      <c r="F25" t="s">
        <v>146</v>
      </c>
      <c r="H25">
        <f>C25*E25/1000</f>
        <v>0</v>
      </c>
      <c r="L25" s="39">
        <f>H25*L1</f>
        <v>0</v>
      </c>
    </row>
    <row r="26" spans="1:13" x14ac:dyDescent="0.25">
      <c r="A26" t="s">
        <v>71</v>
      </c>
      <c r="B26" s="40" t="str">
        <f>'COO BR'!B26</f>
        <v>Ultramax</v>
      </c>
      <c r="C26" s="37">
        <f>'COO BR'!C26</f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tr">
        <f>'COO BR'!B27</f>
        <v>Striker</v>
      </c>
      <c r="C27" s="37">
        <f>'COO BR'!C27</f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tr">
        <f>'COO BR'!B28</f>
        <v>Jedi Duo</v>
      </c>
      <c r="C28" s="37">
        <f>'COO BR'!C28</f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tr">
        <f>'COO BR'!B29</f>
        <v>MCPA</v>
      </c>
      <c r="C29" s="37">
        <f>'COO BR'!C29</f>
        <v>0.5</v>
      </c>
      <c r="D29" t="s">
        <v>72</v>
      </c>
      <c r="E29" s="37">
        <f>'COO BR'!E29</f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40" t="str">
        <f>'COO BR'!B30</f>
        <v>Lontrel</v>
      </c>
      <c r="C30" s="37">
        <f>'COO BR'!C30</f>
        <v>0.125</v>
      </c>
      <c r="D30" t="s">
        <v>72</v>
      </c>
      <c r="E30" s="37">
        <f>'COO BR'!E30</f>
        <v>20</v>
      </c>
      <c r="F30" t="s">
        <v>73</v>
      </c>
      <c r="H30">
        <f>E30*C30</f>
        <v>2.5</v>
      </c>
      <c r="L30" s="39">
        <f t="shared" si="0"/>
        <v>2.5</v>
      </c>
    </row>
    <row r="31" spans="1:13" x14ac:dyDescent="0.25">
      <c r="A31" t="s">
        <v>78</v>
      </c>
      <c r="C31" s="41">
        <v>0.01</v>
      </c>
      <c r="E31" s="37"/>
      <c r="H31" s="42">
        <f>C31*H4</f>
        <v>9.8350000000000009</v>
      </c>
      <c r="L31" s="39">
        <f t="shared" si="0"/>
        <v>9.8350000000000009</v>
      </c>
    </row>
    <row r="32" spans="1:13" x14ac:dyDescent="0.25">
      <c r="A32" t="s">
        <v>79</v>
      </c>
      <c r="C32" s="43">
        <f>C13</f>
        <v>2.81</v>
      </c>
      <c r="D32" t="s">
        <v>80</v>
      </c>
      <c r="E32" s="37">
        <v>0</v>
      </c>
      <c r="F32" t="s">
        <v>67</v>
      </c>
      <c r="H32" s="39">
        <f>E32*C32</f>
        <v>0</v>
      </c>
      <c r="L32" s="39">
        <f t="shared" si="0"/>
        <v>0</v>
      </c>
    </row>
    <row r="33" spans="1:12" x14ac:dyDescent="0.25">
      <c r="A33" t="s">
        <v>81</v>
      </c>
      <c r="C33" s="37">
        <f>'COO BR'!C34</f>
        <v>9</v>
      </c>
      <c r="D33" t="s">
        <v>72</v>
      </c>
      <c r="E33" s="37">
        <f>'COO BR'!E34</f>
        <v>1.5</v>
      </c>
      <c r="F33" t="s">
        <v>73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82</v>
      </c>
      <c r="H37" s="47">
        <f>SUM(H22:H35)</f>
        <v>218.63500000000002</v>
      </c>
      <c r="K37" s="46" t="s">
        <v>83</v>
      </c>
      <c r="L37" s="39">
        <f>SUM(L22:L36)</f>
        <v>218.63500000000002</v>
      </c>
    </row>
    <row r="38" spans="1:12" x14ac:dyDescent="0.25">
      <c r="H38" s="47"/>
      <c r="K38" s="46"/>
      <c r="L38" s="39"/>
    </row>
    <row r="39" spans="1:12" x14ac:dyDescent="0.25">
      <c r="H39" s="47"/>
      <c r="K39" s="46" t="s">
        <v>84</v>
      </c>
      <c r="L39" s="39">
        <f>L13-L37</f>
        <v>674.52350000000001</v>
      </c>
    </row>
    <row r="40" spans="1:12" x14ac:dyDescent="0.25">
      <c r="H40" s="47"/>
      <c r="K40" s="46" t="s">
        <v>85</v>
      </c>
      <c r="L40" s="39">
        <f>L6*E17</f>
        <v>0</v>
      </c>
    </row>
    <row r="41" spans="1:12" x14ac:dyDescent="0.25">
      <c r="H41" s="47"/>
      <c r="K41" s="46"/>
      <c r="L41" s="39"/>
    </row>
    <row r="42" spans="1:12" x14ac:dyDescent="0.25">
      <c r="F42" s="46" t="s">
        <v>86</v>
      </c>
      <c r="H42" s="47">
        <f>H17-H37</f>
        <v>674.52350000000001</v>
      </c>
      <c r="K42" s="46" t="s">
        <v>87</v>
      </c>
      <c r="L42" s="39">
        <f>L39+L40</f>
        <v>674.52350000000001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88</v>
      </c>
      <c r="C45" s="47">
        <f>H37/E4</f>
        <v>0.62467142857142866</v>
      </c>
    </row>
    <row r="46" spans="1:12" x14ac:dyDescent="0.25">
      <c r="C46" s="47"/>
    </row>
    <row r="47" spans="1:12" x14ac:dyDescent="0.25">
      <c r="A47" s="33" t="s">
        <v>89</v>
      </c>
      <c r="C47" s="47">
        <f>H37/C4</f>
        <v>77.806049822064068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90</v>
      </c>
      <c r="E50" s="35" t="s">
        <v>91</v>
      </c>
      <c r="F50" s="51">
        <f>H37</f>
        <v>218.63500000000002</v>
      </c>
      <c r="G50" t="s">
        <v>92</v>
      </c>
    </row>
    <row r="52" spans="1:12" x14ac:dyDescent="0.25">
      <c r="A52" t="s">
        <v>104</v>
      </c>
      <c r="C52" s="37"/>
    </row>
    <row r="53" spans="1:12" x14ac:dyDescent="0.25">
      <c r="A53" t="s">
        <v>109</v>
      </c>
      <c r="C53" s="37"/>
    </row>
    <row r="54" spans="1:12" x14ac:dyDescent="0.25">
      <c r="E54" s="34" t="s">
        <v>94</v>
      </c>
    </row>
    <row r="55" spans="1:12" x14ac:dyDescent="0.25">
      <c r="C55" s="46" t="s">
        <v>93</v>
      </c>
      <c r="D55" s="33">
        <f>MIN(QUALITY!$O$32:$O$35)</f>
        <v>214</v>
      </c>
      <c r="E55" s="33">
        <f>AVERAGE(QUALITY!$O$32:$O$35)</f>
        <v>258</v>
      </c>
      <c r="F55" s="33">
        <f>MAX(QUALITY!$O$32:$O$35)</f>
        <v>350</v>
      </c>
    </row>
    <row r="56" spans="1:12" x14ac:dyDescent="0.25">
      <c r="A56" s="33" t="s">
        <v>95</v>
      </c>
      <c r="C56" s="33">
        <f>MAX(QUALITY!$H$32:$H$35)</f>
        <v>2.99</v>
      </c>
      <c r="D56" s="39">
        <f>C56*(D55-$E$15)-$H$37</f>
        <v>325.09649999999999</v>
      </c>
      <c r="E56" s="39">
        <f>C56*(E55-$E$15)-$H$37</f>
        <v>456.65650000000005</v>
      </c>
      <c r="F56" s="39">
        <f>C56*(F55-$E$15)-$H$37</f>
        <v>731.73650000000009</v>
      </c>
    </row>
    <row r="57" spans="1:12" x14ac:dyDescent="0.25">
      <c r="A57" s="33" t="s">
        <v>96</v>
      </c>
      <c r="C57" s="52">
        <f>AVERAGE(QUALITY!$H$32:$H$35)</f>
        <v>2.895</v>
      </c>
      <c r="D57" s="39">
        <f>C57*(D55-$E$15)-$H$37</f>
        <v>307.82074999999998</v>
      </c>
      <c r="E57" s="39">
        <f>C57*(E55-$E$15)-$H$37</f>
        <v>435.20074999999997</v>
      </c>
      <c r="F57" s="39">
        <f>C57*(F55-$E$15)-$H$37</f>
        <v>701.54075000000012</v>
      </c>
    </row>
    <row r="58" spans="1:12" x14ac:dyDescent="0.25">
      <c r="A58" s="33" t="s">
        <v>97</v>
      </c>
      <c r="C58" s="33">
        <f>MIN(QUALITY!$H$32:$H$35)</f>
        <v>2.81</v>
      </c>
      <c r="D58" s="39">
        <f>C58*(D55-$E$15)-$H$37</f>
        <v>292.36349999999993</v>
      </c>
      <c r="E58" s="39">
        <f>C58*(E55-$E$15)-$H$37</f>
        <v>416.00350000000003</v>
      </c>
      <c r="F58" s="39">
        <f>C58*(F55-$E$15)-$H$37</f>
        <v>674.52350000000013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sheetProtection algorithmName="SHA-512" hashValue="jtL4/QM/mGD7u25xrpKyqhS2tWoBYsrI97/5St9LMWDzVMturmKL6cTm7oVKkhz82Gv3KuJrCRBhb6+ePww4xw==" saltValue="WfT67OR0ErJQnu1vy9iehw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5" x14ac:dyDescent="0.25"/>
  <cols>
    <col min="1" max="1" width="12.42578125" customWidth="1"/>
    <col min="2" max="2" width="10.140625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151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5.75</v>
      </c>
    </row>
    <row r="4" spans="1:13" x14ac:dyDescent="0.25">
      <c r="C4" s="36">
        <f>QUALITY!H39</f>
        <v>5.75</v>
      </c>
      <c r="D4" s="37"/>
      <c r="E4" s="37">
        <f>QUALITY!O39</f>
        <v>250</v>
      </c>
      <c r="F4" s="37"/>
      <c r="H4" s="37">
        <f>E4*C4</f>
        <v>1437.5</v>
      </c>
      <c r="K4" s="35" t="s">
        <v>46</v>
      </c>
      <c r="L4">
        <f>L3-L6</f>
        <v>5.75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152</v>
      </c>
      <c r="C10">
        <f>C4</f>
        <v>5.75</v>
      </c>
      <c r="E10" s="37">
        <f>QUALITY!P39</f>
        <v>26.68</v>
      </c>
      <c r="H10">
        <f>E10*C10</f>
        <v>153.41</v>
      </c>
      <c r="K10" s="35" t="s">
        <v>49</v>
      </c>
      <c r="L10">
        <f>L4*E4</f>
        <v>1437.5</v>
      </c>
    </row>
    <row r="11" spans="1:13" x14ac:dyDescent="0.25">
      <c r="A11" t="s">
        <v>153</v>
      </c>
      <c r="C11">
        <f>C4</f>
        <v>5.75</v>
      </c>
      <c r="E11" s="37">
        <v>0</v>
      </c>
      <c r="H11">
        <f>E11*C11</f>
        <v>0</v>
      </c>
      <c r="K11" s="35" t="s">
        <v>50</v>
      </c>
      <c r="L11">
        <f>L4*E15</f>
        <v>153.41</v>
      </c>
    </row>
    <row r="12" spans="1:13" x14ac:dyDescent="0.25">
      <c r="A12">
        <v>3</v>
      </c>
      <c r="C12">
        <f>C4</f>
        <v>5.75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5.75</v>
      </c>
      <c r="E13" s="37">
        <v>0</v>
      </c>
      <c r="H13">
        <f>E13*C13</f>
        <v>0</v>
      </c>
      <c r="K13" s="35" t="s">
        <v>51</v>
      </c>
      <c r="L13">
        <f>L10-L11</f>
        <v>1284.0899999999999</v>
      </c>
    </row>
    <row r="14" spans="1:13" x14ac:dyDescent="0.25">
      <c r="K14" s="35"/>
    </row>
    <row r="15" spans="1:13" x14ac:dyDescent="0.25">
      <c r="C15" s="33" t="s">
        <v>52</v>
      </c>
      <c r="E15">
        <f>SUM(E10:E13)</f>
        <v>26.68</v>
      </c>
      <c r="H15">
        <f>SUM(H10:H13)</f>
        <v>153.41</v>
      </c>
      <c r="K15" s="35" t="s">
        <v>53</v>
      </c>
      <c r="L15">
        <f>L13*M15</f>
        <v>1284.0899999999999</v>
      </c>
      <c r="M15" s="38">
        <v>1</v>
      </c>
    </row>
    <row r="16" spans="1:13" x14ac:dyDescent="0.25"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223.32</v>
      </c>
      <c r="H17">
        <f>H4-H15</f>
        <v>1284.0899999999999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68</v>
      </c>
      <c r="D22" t="s">
        <v>63</v>
      </c>
      <c r="E22" s="37">
        <f>E4/1000</f>
        <v>0.25</v>
      </c>
      <c r="F22" t="s">
        <v>64</v>
      </c>
      <c r="H22">
        <f>C22*E22</f>
        <v>17</v>
      </c>
      <c r="I22" s="48"/>
      <c r="L22" s="39">
        <f>H22*$L$1</f>
        <v>17</v>
      </c>
    </row>
    <row r="23" spans="1:13" x14ac:dyDescent="0.25">
      <c r="A23" t="s">
        <v>65</v>
      </c>
      <c r="C23" s="37">
        <f>'COO BR'!C23</f>
        <v>70</v>
      </c>
      <c r="D23" t="s">
        <v>98</v>
      </c>
      <c r="E23" s="37">
        <f>'COO BR'!E23</f>
        <v>50</v>
      </c>
      <c r="F23" t="s">
        <v>73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66</v>
      </c>
      <c r="B24" s="40" t="str">
        <f>'COO BR'!B24</f>
        <v>DAP</v>
      </c>
      <c r="C24" s="37">
        <f>'COO BR'!C24</f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tr">
        <f>'COO BR'!B25</f>
        <v>UAN</v>
      </c>
      <c r="C25" s="37">
        <f>'COO BR'!C25</f>
        <v>0</v>
      </c>
      <c r="D25" t="s">
        <v>72</v>
      </c>
      <c r="E25" s="37">
        <f>'COO BR'!E25</f>
        <v>750</v>
      </c>
      <c r="F25" t="s">
        <v>136</v>
      </c>
      <c r="H25">
        <f>C25*E25/1000</f>
        <v>0</v>
      </c>
      <c r="L25" s="39">
        <f>H25*L1</f>
        <v>0</v>
      </c>
    </row>
    <row r="26" spans="1:13" x14ac:dyDescent="0.25">
      <c r="A26" t="s">
        <v>71</v>
      </c>
      <c r="B26" s="40" t="str">
        <f>'COO BR'!B26</f>
        <v>Ultramax</v>
      </c>
      <c r="C26" s="37">
        <f>'COO BR'!C26</f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tr">
        <f>'COO BR'!B27</f>
        <v>Striker</v>
      </c>
      <c r="C27" s="37">
        <f>'COO BR'!C27</f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tr">
        <f>'COO BR'!B28</f>
        <v>Jedi Duo</v>
      </c>
      <c r="C28" s="37">
        <f>'COO BR'!C28</f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tr">
        <f>'COO BR'!B29</f>
        <v>MCPA</v>
      </c>
      <c r="C29" s="37">
        <f>'COO BR'!C29</f>
        <v>0.5</v>
      </c>
      <c r="D29" t="s">
        <v>72</v>
      </c>
      <c r="E29" s="37">
        <f>'COO BR'!E29</f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40" t="str">
        <f>'COO BR'!B30</f>
        <v>Lontrel</v>
      </c>
      <c r="C30" s="37">
        <f>'COO BR'!C30</f>
        <v>0.125</v>
      </c>
      <c r="D30" t="s">
        <v>72</v>
      </c>
      <c r="E30" s="37">
        <f>'COO BR'!E30</f>
        <v>20</v>
      </c>
      <c r="F30" t="s">
        <v>73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99</v>
      </c>
      <c r="B31" s="40" t="str">
        <f>'COO BR'!B31</f>
        <v>Tilt</v>
      </c>
      <c r="C31" s="37">
        <f>'COO BR'!C31</f>
        <v>0</v>
      </c>
      <c r="D31" t="s">
        <v>72</v>
      </c>
      <c r="E31" s="37">
        <f>'COO BR'!E31</f>
        <v>16</v>
      </c>
      <c r="F31" t="s">
        <v>73</v>
      </c>
      <c r="H31">
        <f t="shared" si="1"/>
        <v>0</v>
      </c>
      <c r="L31" s="39">
        <f t="shared" si="0"/>
        <v>0</v>
      </c>
    </row>
    <row r="32" spans="1:13" x14ac:dyDescent="0.25">
      <c r="A32" t="s">
        <v>78</v>
      </c>
      <c r="C32" s="41">
        <v>0.01</v>
      </c>
      <c r="E32" s="45"/>
      <c r="H32" s="42">
        <f>C32*H4</f>
        <v>14.375</v>
      </c>
      <c r="L32" s="39">
        <f t="shared" si="0"/>
        <v>14.375</v>
      </c>
    </row>
    <row r="33" spans="1:12" x14ac:dyDescent="0.25">
      <c r="A33" t="s">
        <v>79</v>
      </c>
      <c r="C33" s="43">
        <f>C13</f>
        <v>5.75</v>
      </c>
      <c r="D33" t="s">
        <v>80</v>
      </c>
      <c r="E33" s="37">
        <v>0</v>
      </c>
      <c r="F33" t="s">
        <v>67</v>
      </c>
      <c r="H33" s="39">
        <f>E33*C33</f>
        <v>0</v>
      </c>
      <c r="L33" s="39">
        <f t="shared" si="0"/>
        <v>0</v>
      </c>
    </row>
    <row r="34" spans="1:12" x14ac:dyDescent="0.25">
      <c r="A34" t="s">
        <v>81</v>
      </c>
      <c r="C34" s="37">
        <f>'COO BR'!C34</f>
        <v>9</v>
      </c>
      <c r="D34" t="s">
        <v>72</v>
      </c>
      <c r="E34" s="37">
        <f>'COO BR'!E34</f>
        <v>1.5</v>
      </c>
      <c r="F34" t="s">
        <v>73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82</v>
      </c>
      <c r="H38" s="47">
        <f>SUM(H22:H36)</f>
        <v>215.67500000000001</v>
      </c>
      <c r="K38" s="46" t="s">
        <v>83</v>
      </c>
      <c r="L38" s="39">
        <f>SUM(L22:L37)</f>
        <v>215.67500000000001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84</v>
      </c>
      <c r="L40" s="39">
        <f>L13-L38</f>
        <v>1068.415</v>
      </c>
    </row>
    <row r="41" spans="1:12" x14ac:dyDescent="0.25">
      <c r="H41" s="47"/>
      <c r="K41" s="46" t="s">
        <v>85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86</v>
      </c>
      <c r="H43" s="47">
        <f>H17-H38</f>
        <v>1068.415</v>
      </c>
      <c r="K43" s="46" t="s">
        <v>87</v>
      </c>
      <c r="L43" s="39">
        <f>L40+L41</f>
        <v>1068.415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88</v>
      </c>
      <c r="C46" s="47">
        <f>H38/E4</f>
        <v>0.86270000000000002</v>
      </c>
    </row>
    <row r="47" spans="1:12" x14ac:dyDescent="0.25">
      <c r="C47" s="47"/>
    </row>
    <row r="48" spans="1:12" x14ac:dyDescent="0.25">
      <c r="A48" s="33" t="s">
        <v>89</v>
      </c>
      <c r="C48" s="47">
        <f>H38/C4</f>
        <v>37.508695652173913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90</v>
      </c>
      <c r="E51" s="35" t="s">
        <v>91</v>
      </c>
      <c r="F51" s="53">
        <f>H38</f>
        <v>215.67500000000001</v>
      </c>
      <c r="G51" t="s">
        <v>92</v>
      </c>
    </row>
    <row r="53" spans="1:12" x14ac:dyDescent="0.25">
      <c r="A53" t="s">
        <v>104</v>
      </c>
      <c r="C53" s="37"/>
    </row>
    <row r="54" spans="1:12" x14ac:dyDescent="0.25">
      <c r="A54" t="s">
        <v>109</v>
      </c>
      <c r="C54" s="37"/>
    </row>
    <row r="55" spans="1:12" x14ac:dyDescent="0.25">
      <c r="E55" s="34" t="s">
        <v>94</v>
      </c>
    </row>
    <row r="56" spans="1:12" x14ac:dyDescent="0.25">
      <c r="C56" s="46" t="s">
        <v>93</v>
      </c>
      <c r="D56" s="33">
        <f>MIN(QUALITY!$O$36:$O$39)</f>
        <v>207</v>
      </c>
      <c r="E56" s="55">
        <f>AVERAGE(QUALITY!$O$36:$O$39)</f>
        <v>239.25</v>
      </c>
      <c r="F56" s="33">
        <f>MAX(QUALITY!$O$36:$O$39)</f>
        <v>250</v>
      </c>
    </row>
    <row r="57" spans="1:12" x14ac:dyDescent="0.25">
      <c r="A57" s="33" t="s">
        <v>95</v>
      </c>
      <c r="C57" s="33">
        <f>MAX(QUALITY!$H$36:$H$39)</f>
        <v>6.4</v>
      </c>
      <c r="D57" s="39">
        <f>C57*(D56-$E$15)-$H$38</f>
        <v>938.37300000000005</v>
      </c>
      <c r="E57" s="39">
        <f>C57*(E56-$E$15)-$H$38</f>
        <v>1144.7730000000001</v>
      </c>
      <c r="F57" s="39">
        <f>C57*(F56-$E$15)-$H$38</f>
        <v>1213.5730000000001</v>
      </c>
    </row>
    <row r="58" spans="1:12" x14ac:dyDescent="0.25">
      <c r="A58" s="33" t="s">
        <v>96</v>
      </c>
      <c r="C58" s="52">
        <f>AVERAGE(QUALITY!$H$36:$H$39)</f>
        <v>5.8224999999999998</v>
      </c>
      <c r="D58" s="39">
        <f>C58*(D56-$E$15)-$H$38</f>
        <v>834.23820000000001</v>
      </c>
      <c r="E58" s="39">
        <f>C58*(E56-$E$15)-$H$38</f>
        <v>1022.013825</v>
      </c>
      <c r="F58" s="39">
        <f>C58*(F56-$E$15)-$H$38</f>
        <v>1084.6057000000001</v>
      </c>
    </row>
    <row r="59" spans="1:12" x14ac:dyDescent="0.25">
      <c r="A59" s="33" t="s">
        <v>97</v>
      </c>
      <c r="C59" s="33">
        <f>MIN(QUALITY!$H$36:$H$39)</f>
        <v>5.21</v>
      </c>
      <c r="D59" s="39">
        <f>C59*(D56-$E$15)-$H$38</f>
        <v>723.79219999999987</v>
      </c>
      <c r="E59" s="39">
        <f>C59*(E56-$E$15)-$H$38</f>
        <v>891.8146999999999</v>
      </c>
      <c r="F59" s="39">
        <f>C59*(F56-$E$15)-$H$38</f>
        <v>947.82220000000007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sheetProtection algorithmName="SHA-512" hashValue="tv/t73ozZb2mHZUdgrhcpFvVT/DZjBtwinp7hzX6jD0mtQ3o0fi9ZgCN7noxlMwcWP1PHFU/gFm+77eWPq4WYg==" saltValue="YXVcVJO0bIACXhfkRBqCk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154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5.28</v>
      </c>
    </row>
    <row r="4" spans="1:13" x14ac:dyDescent="0.25">
      <c r="C4" s="36">
        <f>QUALITY!H40</f>
        <v>5.28</v>
      </c>
      <c r="D4" s="37"/>
      <c r="E4" s="37">
        <f>QUALITY!O40</f>
        <v>350</v>
      </c>
      <c r="F4" s="37"/>
      <c r="H4" s="37">
        <f>E4*C4</f>
        <v>1848</v>
      </c>
      <c r="K4" s="35" t="s">
        <v>46</v>
      </c>
      <c r="L4">
        <f>L3-L6</f>
        <v>5.28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155</v>
      </c>
      <c r="C10">
        <f>C4</f>
        <v>5.28</v>
      </c>
      <c r="E10" s="37">
        <f>QUALITY!P43</f>
        <v>52.35</v>
      </c>
      <c r="H10" s="47">
        <f>E10*C10</f>
        <v>276.40800000000002</v>
      </c>
      <c r="K10" s="35" t="s">
        <v>49</v>
      </c>
      <c r="L10">
        <f>L4*E4</f>
        <v>1848</v>
      </c>
    </row>
    <row r="11" spans="1:13" x14ac:dyDescent="0.25">
      <c r="A11" t="s">
        <v>156</v>
      </c>
      <c r="C11">
        <f>C4</f>
        <v>5.28</v>
      </c>
      <c r="E11" s="37">
        <v>0</v>
      </c>
      <c r="H11" s="47">
        <f>E11*C11</f>
        <v>0</v>
      </c>
      <c r="K11" s="35" t="s">
        <v>50</v>
      </c>
      <c r="L11">
        <f>L4*E15</f>
        <v>276.40800000000002</v>
      </c>
    </row>
    <row r="12" spans="1:13" x14ac:dyDescent="0.25">
      <c r="A12" t="s">
        <v>150</v>
      </c>
      <c r="C12">
        <f>C4</f>
        <v>5.28</v>
      </c>
      <c r="E12" s="37">
        <v>0</v>
      </c>
      <c r="H12" s="47">
        <f>E12*C12</f>
        <v>0</v>
      </c>
      <c r="K12" s="35"/>
    </row>
    <row r="13" spans="1:13" x14ac:dyDescent="0.25">
      <c r="A13">
        <v>4</v>
      </c>
      <c r="C13">
        <f>C4</f>
        <v>5.28</v>
      </c>
      <c r="E13" s="37">
        <v>0</v>
      </c>
      <c r="H13" s="47">
        <f>E13*C13</f>
        <v>0</v>
      </c>
      <c r="K13" s="35" t="s">
        <v>51</v>
      </c>
      <c r="L13">
        <f>L10-L11</f>
        <v>1571.5920000000001</v>
      </c>
    </row>
    <row r="14" spans="1:13" x14ac:dyDescent="0.25">
      <c r="H14" s="47"/>
      <c r="K14" s="35"/>
    </row>
    <row r="15" spans="1:13" x14ac:dyDescent="0.25">
      <c r="C15" s="33" t="s">
        <v>52</v>
      </c>
      <c r="E15">
        <f>SUM(E10:E13)</f>
        <v>52.35</v>
      </c>
      <c r="H15" s="47">
        <f>SUM(H10:H13)</f>
        <v>276.40800000000002</v>
      </c>
      <c r="K15" s="35" t="s">
        <v>53</v>
      </c>
      <c r="L15">
        <f>L13*M15</f>
        <v>1571.5920000000001</v>
      </c>
      <c r="M15" s="38">
        <v>1</v>
      </c>
    </row>
    <row r="16" spans="1:13" x14ac:dyDescent="0.25">
      <c r="H16" s="47"/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297.64999999999998</v>
      </c>
      <c r="H17" s="47">
        <f>H4-H15</f>
        <v>1571.5920000000001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80</v>
      </c>
      <c r="D22" t="s">
        <v>63</v>
      </c>
      <c r="E22" s="37">
        <f>E4/1000</f>
        <v>0.35</v>
      </c>
      <c r="F22" t="s">
        <v>64</v>
      </c>
      <c r="H22">
        <f>C22*E22</f>
        <v>28</v>
      </c>
      <c r="I22" s="37"/>
      <c r="L22" s="39">
        <f>H22*$L$1</f>
        <v>28</v>
      </c>
    </row>
    <row r="23" spans="1:13" x14ac:dyDescent="0.25">
      <c r="A23" t="s">
        <v>65</v>
      </c>
      <c r="C23" s="37">
        <v>0</v>
      </c>
      <c r="D23" t="s">
        <v>63</v>
      </c>
      <c r="E23" s="37">
        <f>'COO BR'!E23</f>
        <v>50</v>
      </c>
      <c r="F23" t="s">
        <v>64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66</v>
      </c>
      <c r="B24" s="40" t="str">
        <f>'COO BR'!B24</f>
        <v>DAP</v>
      </c>
      <c r="C24" s="37">
        <f>'COO BR'!C24</f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tr">
        <f>'COO BR'!B25</f>
        <v>UAN</v>
      </c>
      <c r="C25" s="37">
        <f>'COO BR'!C25</f>
        <v>0</v>
      </c>
      <c r="D25" t="s">
        <v>69</v>
      </c>
      <c r="E25" s="37">
        <f>'COO BR'!E25</f>
        <v>750</v>
      </c>
      <c r="F25" t="s">
        <v>146</v>
      </c>
      <c r="H25">
        <f>C25*E25/1000</f>
        <v>0</v>
      </c>
      <c r="L25" s="39">
        <f>H25*L1</f>
        <v>0</v>
      </c>
    </row>
    <row r="26" spans="1:13" x14ac:dyDescent="0.25">
      <c r="A26" t="s">
        <v>71</v>
      </c>
      <c r="B26" s="40" t="str">
        <f>'COO BR'!B26</f>
        <v>Ultramax</v>
      </c>
      <c r="C26" s="37">
        <f>'COO BR'!C26</f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tr">
        <f>'COO BR'!B27</f>
        <v>Striker</v>
      </c>
      <c r="C27" s="37">
        <f>'COO BR'!C27</f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tr">
        <f>'COO BR'!B28</f>
        <v>Jedi Duo</v>
      </c>
      <c r="C28" s="37">
        <f>'COO BR'!C28</f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tr">
        <f>'COO BR'!B29</f>
        <v>MCPA</v>
      </c>
      <c r="C29" s="37">
        <f>'COO BR'!C29</f>
        <v>0.5</v>
      </c>
      <c r="D29" t="s">
        <v>72</v>
      </c>
      <c r="E29" s="37">
        <f>'COO BR'!E29</f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40" t="str">
        <f>'COO BR'!B30</f>
        <v>Lontrel</v>
      </c>
      <c r="C30" s="37">
        <f>'COO BR'!C30</f>
        <v>0.125</v>
      </c>
      <c r="D30" t="s">
        <v>72</v>
      </c>
      <c r="E30" s="37">
        <f>'COO BR'!E30</f>
        <v>20</v>
      </c>
      <c r="F30" t="s">
        <v>73</v>
      </c>
      <c r="H30">
        <f>E30*C30</f>
        <v>2.5</v>
      </c>
      <c r="L30" s="39">
        <f t="shared" si="0"/>
        <v>2.5</v>
      </c>
    </row>
    <row r="31" spans="1:13" x14ac:dyDescent="0.25">
      <c r="A31" t="s">
        <v>78</v>
      </c>
      <c r="C31" s="41">
        <v>0.01</v>
      </c>
      <c r="E31" s="37"/>
      <c r="H31" s="42">
        <f>C31*H4</f>
        <v>18.48</v>
      </c>
      <c r="L31" s="39">
        <f t="shared" si="0"/>
        <v>18.48</v>
      </c>
    </row>
    <row r="32" spans="1:13" x14ac:dyDescent="0.25">
      <c r="A32" t="s">
        <v>79</v>
      </c>
      <c r="C32" s="43">
        <f>C13</f>
        <v>5.28</v>
      </c>
      <c r="D32" t="s">
        <v>80</v>
      </c>
      <c r="E32" s="37">
        <v>0</v>
      </c>
      <c r="F32" t="s">
        <v>67</v>
      </c>
      <c r="H32" s="39">
        <f>E32*C32</f>
        <v>0</v>
      </c>
      <c r="L32" s="39">
        <f t="shared" si="0"/>
        <v>0</v>
      </c>
    </row>
    <row r="33" spans="1:12" x14ac:dyDescent="0.25">
      <c r="A33" t="s">
        <v>81</v>
      </c>
      <c r="C33" s="37">
        <f>'COO BR'!C34</f>
        <v>9</v>
      </c>
      <c r="D33" t="s">
        <v>72</v>
      </c>
      <c r="E33" s="37">
        <f>'COO BR'!E34</f>
        <v>1.5</v>
      </c>
      <c r="F33" t="s">
        <v>73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82</v>
      </c>
      <c r="H37">
        <f>SUM(H22:H35)</f>
        <v>227.28</v>
      </c>
      <c r="K37" s="46" t="s">
        <v>83</v>
      </c>
      <c r="L37" s="39">
        <f>SUM(L22:L36)</f>
        <v>227.28</v>
      </c>
    </row>
    <row r="38" spans="1:12" x14ac:dyDescent="0.25">
      <c r="K38" s="46"/>
      <c r="L38" s="39"/>
    </row>
    <row r="39" spans="1:12" x14ac:dyDescent="0.25">
      <c r="K39" s="46" t="s">
        <v>84</v>
      </c>
      <c r="L39" s="39">
        <f>L13-L37</f>
        <v>1344.3120000000001</v>
      </c>
    </row>
    <row r="40" spans="1:12" x14ac:dyDescent="0.25">
      <c r="K40" s="46" t="s">
        <v>85</v>
      </c>
      <c r="L40" s="39">
        <f>L6*E17</f>
        <v>0</v>
      </c>
    </row>
    <row r="41" spans="1:12" x14ac:dyDescent="0.25">
      <c r="K41" s="46"/>
      <c r="L41" s="39"/>
    </row>
    <row r="42" spans="1:12" x14ac:dyDescent="0.25">
      <c r="F42" s="46" t="s">
        <v>86</v>
      </c>
      <c r="H42" s="47">
        <f>H17-H37</f>
        <v>1344.3120000000001</v>
      </c>
      <c r="K42" s="46" t="s">
        <v>87</v>
      </c>
      <c r="L42" s="39">
        <f>L39+L40</f>
        <v>1344.3120000000001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88</v>
      </c>
      <c r="C45" s="47">
        <f>H37/E4</f>
        <v>0.6493714285714286</v>
      </c>
    </row>
    <row r="46" spans="1:12" x14ac:dyDescent="0.25">
      <c r="C46" s="47"/>
    </row>
    <row r="47" spans="1:12" x14ac:dyDescent="0.25">
      <c r="A47" s="33" t="s">
        <v>89</v>
      </c>
      <c r="C47" s="47">
        <f>H37/C4</f>
        <v>43.045454545454547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90</v>
      </c>
      <c r="E50" s="35" t="s">
        <v>91</v>
      </c>
      <c r="F50" s="7">
        <f>H37</f>
        <v>227.28</v>
      </c>
      <c r="G50" t="s">
        <v>92</v>
      </c>
    </row>
    <row r="52" spans="1:12" x14ac:dyDescent="0.25">
      <c r="A52" t="s">
        <v>104</v>
      </c>
      <c r="C52" s="37"/>
    </row>
    <row r="53" spans="1:12" x14ac:dyDescent="0.25">
      <c r="A53" t="s">
        <v>109</v>
      </c>
      <c r="C53" s="37"/>
    </row>
    <row r="54" spans="1:12" x14ac:dyDescent="0.25">
      <c r="E54" s="34" t="s">
        <v>94</v>
      </c>
    </row>
    <row r="55" spans="1:12" x14ac:dyDescent="0.25">
      <c r="C55" s="46" t="s">
        <v>93</v>
      </c>
      <c r="D55" s="33">
        <f>MIN(QUALITY!$O$40:$O$43)</f>
        <v>350</v>
      </c>
      <c r="E55" s="55">
        <f>AVERAGE(QUALITY!$O$40:$O$43)</f>
        <v>362.5</v>
      </c>
      <c r="F55" s="33">
        <f>MAX(QUALITY!$O$40:$O$43)</f>
        <v>400</v>
      </c>
    </row>
    <row r="56" spans="1:12" x14ac:dyDescent="0.25">
      <c r="A56" s="33" t="s">
        <v>95</v>
      </c>
      <c r="C56" s="33">
        <f>MAX(QUALITY!$H$40:$H$43)</f>
        <v>5.28</v>
      </c>
      <c r="D56" s="39">
        <f>C56*(D55-$E$15)-$H$37</f>
        <v>1344.3119999999999</v>
      </c>
      <c r="E56" s="39">
        <f>C56*(E55-$E$15)-$H$37</f>
        <v>1410.3119999999999</v>
      </c>
      <c r="F56" s="39">
        <f>C56*(F55-$E$15)-$H$37</f>
        <v>1608.3119999999999</v>
      </c>
    </row>
    <row r="57" spans="1:12" x14ac:dyDescent="0.25">
      <c r="A57" s="33" t="s">
        <v>96</v>
      </c>
      <c r="C57" s="52">
        <f>AVERAGE(QUALITY!$H$40:$H$43)</f>
        <v>4.7725</v>
      </c>
      <c r="D57" s="39">
        <f>C57*(D55-$E$15)-$H$37</f>
        <v>1193.2546249999998</v>
      </c>
      <c r="E57" s="39">
        <f>C57*(E55-$E$15)-$H$37</f>
        <v>1252.9108749999998</v>
      </c>
      <c r="F57" s="39">
        <f>C57*(F55-$E$15)-$H$37</f>
        <v>1431.8796249999998</v>
      </c>
    </row>
    <row r="58" spans="1:12" x14ac:dyDescent="0.25">
      <c r="A58" s="33" t="s">
        <v>97</v>
      </c>
      <c r="C58" s="33">
        <f>MIN(QUALITY!$H$40:$H$43)</f>
        <v>4.08</v>
      </c>
      <c r="D58" s="39">
        <f>C58*(D55-$E$15)-$H$37</f>
        <v>987.13200000000006</v>
      </c>
      <c r="E58" s="39">
        <f>C58*(E55-$E$15)-$H$37</f>
        <v>1038.1320000000001</v>
      </c>
      <c r="F58" s="39">
        <f>C58*(F55-$E$15)-$H$37</f>
        <v>1191.1320000000001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sheetProtection algorithmName="SHA-512" hashValue="XOeVw9Wyc+O62c3/snIIUW+PaLIaZ8EdaqOwycNc9VeZ2DSTJW/0qBVkmTqpCO3BnGeDPuD4EqtRk2paIBn57Q==" saltValue="xHSB6+U6bc6fFuvbc/Cstg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5" x14ac:dyDescent="0.25"/>
  <cols>
    <col min="1" max="1" width="11" customWidth="1"/>
    <col min="4" max="4" width="10" style="7" customWidth="1"/>
    <col min="5" max="5" width="10.7109375" style="7" customWidth="1"/>
    <col min="6" max="7" width="9.85546875" style="7" bestFit="1" customWidth="1"/>
    <col min="8" max="9" width="9.140625" style="7"/>
  </cols>
  <sheetData>
    <row r="1" spans="1:9" s="49" customFormat="1" x14ac:dyDescent="0.25">
      <c r="A1" s="49" t="s">
        <v>102</v>
      </c>
      <c r="D1" s="8"/>
      <c r="E1" s="8"/>
      <c r="F1" s="8"/>
      <c r="G1" s="8"/>
      <c r="H1" s="8"/>
      <c r="I1" s="54">
        <v>2015</v>
      </c>
    </row>
    <row r="3" spans="1:9" x14ac:dyDescent="0.25">
      <c r="D3" s="7" t="s">
        <v>97</v>
      </c>
      <c r="E3" s="7" t="s">
        <v>97</v>
      </c>
      <c r="F3" s="7" t="s">
        <v>95</v>
      </c>
      <c r="G3" s="7" t="s">
        <v>95</v>
      </c>
      <c r="H3" s="7" t="s">
        <v>111</v>
      </c>
      <c r="I3" s="7" t="s">
        <v>110</v>
      </c>
    </row>
    <row r="4" spans="1:9" x14ac:dyDescent="0.25">
      <c r="D4" s="7" t="s">
        <v>114</v>
      </c>
      <c r="E4" s="7" t="s">
        <v>113</v>
      </c>
      <c r="F4" s="7" t="s">
        <v>114</v>
      </c>
      <c r="G4" s="7" t="s">
        <v>113</v>
      </c>
      <c r="H4" s="7" t="s">
        <v>112</v>
      </c>
      <c r="I4" s="7" t="s">
        <v>108</v>
      </c>
    </row>
    <row r="5" spans="1:9" x14ac:dyDescent="0.25">
      <c r="A5" t="s">
        <v>105</v>
      </c>
      <c r="B5" t="s">
        <v>106</v>
      </c>
      <c r="D5" s="53">
        <f>'COO BR'!D59</f>
        <v>32.919200000000018</v>
      </c>
      <c r="E5" s="53">
        <f>'COO BR'!F59</f>
        <v>71.19919999999999</v>
      </c>
      <c r="F5" s="53">
        <f>'COO BR'!D57</f>
        <v>271.94479999999999</v>
      </c>
      <c r="G5" s="53">
        <f>'COO BR'!F57</f>
        <v>348.50479999999993</v>
      </c>
      <c r="H5" s="53">
        <f>'COO BR'!E58</f>
        <v>146.94305</v>
      </c>
      <c r="I5" s="53">
        <f>'COO BR'!H43</f>
        <v>271.94479999999999</v>
      </c>
    </row>
    <row r="6" spans="1:9" x14ac:dyDescent="0.25">
      <c r="B6" t="s">
        <v>107</v>
      </c>
      <c r="D6" s="53">
        <f>'COO DR'!D58</f>
        <v>134.95500000000001</v>
      </c>
      <c r="E6" s="53">
        <f>'COO DR'!F58</f>
        <v>211.95500000000001</v>
      </c>
      <c r="F6" s="53">
        <f>'COO DR'!D56</f>
        <v>383.39549999999997</v>
      </c>
      <c r="G6" s="53">
        <f>'COO DR'!F56</f>
        <v>514.29549999999995</v>
      </c>
      <c r="H6" s="53">
        <f>'COO DR'!E57</f>
        <v>337.80662499999983</v>
      </c>
      <c r="I6" s="53">
        <f>'COO DR'!H42</f>
        <v>447.08349999999996</v>
      </c>
    </row>
    <row r="8" spans="1:9" x14ac:dyDescent="0.25">
      <c r="A8" t="s">
        <v>115</v>
      </c>
      <c r="B8" t="s">
        <v>106</v>
      </c>
      <c r="D8" s="53">
        <f>'RAC BR'!D59</f>
        <v>490.38660000000004</v>
      </c>
      <c r="E8" s="53">
        <f>'RAC BR'!F59</f>
        <v>504.66660000000002</v>
      </c>
      <c r="F8" s="53">
        <f>'RAC BR'!D57</f>
        <v>545.54820000000007</v>
      </c>
      <c r="G8" s="53">
        <f>'RAC BR'!F57</f>
        <v>560.8682</v>
      </c>
      <c r="H8" s="53">
        <f>'RAC BR'!E58</f>
        <v>527.99160000000006</v>
      </c>
      <c r="I8" s="53">
        <f>'RAC BR'!H43</f>
        <v>545.54820000000007</v>
      </c>
    </row>
    <row r="9" spans="1:9" x14ac:dyDescent="0.25">
      <c r="B9" t="s">
        <v>107</v>
      </c>
      <c r="D9" s="53">
        <f>'RAC DR'!D59</f>
        <v>544.83019047619052</v>
      </c>
      <c r="E9" s="53">
        <f>'RAC DR'!F59</f>
        <v>684.33019047619052</v>
      </c>
      <c r="F9" s="53">
        <f>'RAC DR'!D57</f>
        <v>623.13019047619048</v>
      </c>
      <c r="G9" s="53">
        <f>'RAC DR'!F57</f>
        <v>776.13019047619059</v>
      </c>
      <c r="H9" s="53">
        <f>'RAC DR'!E58</f>
        <v>654.74269047619066</v>
      </c>
      <c r="I9" s="53">
        <f>'RAC DR'!H43</f>
        <v>650.48400000000015</v>
      </c>
    </row>
    <row r="11" spans="1:9" x14ac:dyDescent="0.25">
      <c r="A11" t="s">
        <v>116</v>
      </c>
      <c r="B11" t="s">
        <v>106</v>
      </c>
      <c r="D11" s="53">
        <f>'SAN BR'!D59</f>
        <v>928.31590000000006</v>
      </c>
      <c r="E11" s="53">
        <f>'SAN BR'!F59</f>
        <v>954.06590000000006</v>
      </c>
      <c r="F11" s="53">
        <f>'SAN BR'!D57</f>
        <v>1078.0944000000002</v>
      </c>
      <c r="G11" s="53">
        <f>'SAN BR'!F57</f>
        <v>1107.1944000000001</v>
      </c>
      <c r="H11" s="53">
        <f>'SAN BR'!E58</f>
        <v>1018.0479</v>
      </c>
      <c r="I11" s="53">
        <f>'SAN BR'!H43</f>
        <v>1078.0944</v>
      </c>
    </row>
    <row r="12" spans="1:9" x14ac:dyDescent="0.25">
      <c r="B12" t="s">
        <v>107</v>
      </c>
      <c r="D12" s="53">
        <f>'SAN DR'!D58</f>
        <v>918.69350000000009</v>
      </c>
      <c r="E12" s="53">
        <f>'SAN DR'!F58</f>
        <v>980.89350000000013</v>
      </c>
      <c r="F12" s="53">
        <f>'SAN DR'!D56</f>
        <v>1238.7230000000002</v>
      </c>
      <c r="G12" s="53">
        <f>'SAN DR'!F56</f>
        <v>1318.3230000000001</v>
      </c>
      <c r="H12" s="53">
        <f>'SAN DR'!E57</f>
        <v>1140.4973750000001</v>
      </c>
      <c r="I12" s="53">
        <f>'SAN DR'!H42</f>
        <v>1248.51</v>
      </c>
    </row>
    <row r="14" spans="1:9" x14ac:dyDescent="0.25">
      <c r="A14" t="s">
        <v>117</v>
      </c>
      <c r="B14" t="s">
        <v>106</v>
      </c>
      <c r="D14" s="53">
        <f>'WJ BR'!D59</f>
        <v>563.95550000000003</v>
      </c>
      <c r="E14" s="53">
        <f>'WJ BR'!F59</f>
        <v>579.27549999999997</v>
      </c>
      <c r="F14" s="53">
        <f>'WJ BR'!D57</f>
        <v>642.86419999999987</v>
      </c>
      <c r="G14" s="53">
        <f>'WJ BR'!F57</f>
        <v>659.74419999999986</v>
      </c>
      <c r="H14" s="53">
        <f>'WJ BR'!E58</f>
        <v>626.77800000000002</v>
      </c>
      <c r="I14" s="53">
        <f>'WJ BR'!H43</f>
        <v>659.74419999999986</v>
      </c>
    </row>
    <row r="15" spans="1:9" x14ac:dyDescent="0.25">
      <c r="B15" t="s">
        <v>107</v>
      </c>
      <c r="D15" s="53">
        <f>'WJ DR'!D58</f>
        <v>292.36349999999993</v>
      </c>
      <c r="E15" s="53">
        <f>'WJ DR'!F58</f>
        <v>674.52350000000013</v>
      </c>
      <c r="F15" s="53">
        <f>'WJ DR'!D56</f>
        <v>325.09649999999999</v>
      </c>
      <c r="G15" s="53">
        <f>'WJ DR'!F56</f>
        <v>731.73650000000009</v>
      </c>
      <c r="H15" s="53">
        <f>'WJ DR'!E57</f>
        <v>435.20074999999997</v>
      </c>
      <c r="I15" s="53">
        <f>'WJ DR'!H42</f>
        <v>674.52350000000001</v>
      </c>
    </row>
    <row r="17" spans="1:9" x14ac:dyDescent="0.25">
      <c r="A17" t="s">
        <v>118</v>
      </c>
      <c r="B17" t="s">
        <v>106</v>
      </c>
      <c r="D17" s="53">
        <f>'YEE BR'!D59</f>
        <v>723.79219999999987</v>
      </c>
      <c r="E17" s="53">
        <f>'YEE BR'!F59</f>
        <v>947.82220000000007</v>
      </c>
      <c r="F17" s="53">
        <f>'YEE BR'!D57</f>
        <v>938.37300000000005</v>
      </c>
      <c r="G17" s="53">
        <f>'YEE BR'!F57</f>
        <v>1213.5730000000001</v>
      </c>
      <c r="H17" s="53">
        <f>'YEE BR'!E58</f>
        <v>1022.013825</v>
      </c>
      <c r="I17" s="53">
        <f>'YEE BR'!H43</f>
        <v>1068.415</v>
      </c>
    </row>
    <row r="18" spans="1:9" x14ac:dyDescent="0.25">
      <c r="B18" t="s">
        <v>107</v>
      </c>
      <c r="D18" s="53">
        <f>'YEE DR'!D58</f>
        <v>987.13200000000006</v>
      </c>
      <c r="E18" s="53">
        <f>'YEE DR'!F58</f>
        <v>1191.1320000000001</v>
      </c>
      <c r="F18" s="53">
        <f>'YEE DR'!D56</f>
        <v>1344.3119999999999</v>
      </c>
      <c r="G18" s="53">
        <f>'YEE DR'!F56</f>
        <v>1608.3119999999999</v>
      </c>
      <c r="H18" s="53">
        <f>'YEE DR'!E57</f>
        <v>1252.9108749999998</v>
      </c>
      <c r="I18" s="53">
        <f>'YEE DR'!H42</f>
        <v>1344.3120000000001</v>
      </c>
    </row>
  </sheetData>
  <sheetProtection algorithmName="SHA-512" hashValue="ClTkrphhh/nRo8IiwM9mU/92ZnMF28XllI+a99IKXgHHi4bc38ubEAAkwb/HwfkuzB3qVz64y8IG0ROKHVwdRA==" saltValue="aucMMk81uhNhOF6FV42DS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5" x14ac:dyDescent="0.25"/>
  <cols>
    <col min="1" max="1" width="16.8554687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101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2.64</v>
      </c>
    </row>
    <row r="4" spans="1:13" x14ac:dyDescent="0.25">
      <c r="C4" s="36">
        <f>QUALITY!H6</f>
        <v>2.64</v>
      </c>
      <c r="D4" s="37"/>
      <c r="E4" s="37">
        <f>QUALITY!O6</f>
        <v>231</v>
      </c>
      <c r="F4" s="37"/>
      <c r="H4" s="37">
        <f>E4*C4</f>
        <v>609.84</v>
      </c>
      <c r="K4" s="35" t="s">
        <v>46</v>
      </c>
      <c r="L4">
        <f>L3-L6</f>
        <v>2.64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126</v>
      </c>
      <c r="C10">
        <f>C4</f>
        <v>2.64</v>
      </c>
      <c r="E10" s="37">
        <f>QUALITY!P6</f>
        <v>49.92</v>
      </c>
      <c r="H10">
        <f>E10*C10</f>
        <v>131.78880000000001</v>
      </c>
      <c r="K10" s="35" t="s">
        <v>49</v>
      </c>
      <c r="L10">
        <f>L4*E4</f>
        <v>609.84</v>
      </c>
    </row>
    <row r="11" spans="1:13" x14ac:dyDescent="0.25">
      <c r="A11" t="s">
        <v>127</v>
      </c>
      <c r="C11">
        <f>C4</f>
        <v>2.64</v>
      </c>
      <c r="E11" s="37">
        <v>0</v>
      </c>
      <c r="H11">
        <f>E11*C11</f>
        <v>0</v>
      </c>
      <c r="K11" s="35" t="s">
        <v>50</v>
      </c>
      <c r="L11">
        <f>L4*E15</f>
        <v>131.78880000000001</v>
      </c>
    </row>
    <row r="12" spans="1:13" x14ac:dyDescent="0.25">
      <c r="A12">
        <v>3</v>
      </c>
      <c r="C12">
        <f>C4</f>
        <v>2.64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2.64</v>
      </c>
      <c r="E13" s="37">
        <v>0</v>
      </c>
      <c r="H13">
        <f>E13*C13</f>
        <v>0</v>
      </c>
      <c r="K13" s="35" t="s">
        <v>51</v>
      </c>
      <c r="L13">
        <f>L10-L11</f>
        <v>478.05119999999999</v>
      </c>
    </row>
    <row r="14" spans="1:13" x14ac:dyDescent="0.25">
      <c r="K14" s="35"/>
    </row>
    <row r="15" spans="1:13" x14ac:dyDescent="0.25">
      <c r="C15" s="33" t="s">
        <v>52</v>
      </c>
      <c r="E15">
        <f>SUM(E10:E13)</f>
        <v>49.92</v>
      </c>
      <c r="H15">
        <f>SUM(H10:H13)</f>
        <v>131.78880000000001</v>
      </c>
      <c r="K15" s="35" t="s">
        <v>53</v>
      </c>
      <c r="L15">
        <f>L13*M15</f>
        <v>478.05119999999999</v>
      </c>
      <c r="M15" s="38">
        <v>1</v>
      </c>
    </row>
    <row r="16" spans="1:13" x14ac:dyDescent="0.25"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181.07999999999998</v>
      </c>
      <c r="H17">
        <f>H4-H15</f>
        <v>478.05119999999999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68</v>
      </c>
      <c r="D22" t="s">
        <v>63</v>
      </c>
      <c r="E22" s="37">
        <f>E4/1000</f>
        <v>0.23100000000000001</v>
      </c>
      <c r="F22" t="s">
        <v>64</v>
      </c>
      <c r="H22">
        <f>C22*E22</f>
        <v>15.708</v>
      </c>
      <c r="I22" s="48"/>
      <c r="L22" s="39">
        <f>H22*$L$1</f>
        <v>15.708</v>
      </c>
    </row>
    <row r="23" spans="1:13" x14ac:dyDescent="0.25">
      <c r="A23" t="s">
        <v>65</v>
      </c>
      <c r="C23" s="37">
        <v>70</v>
      </c>
      <c r="D23" t="s">
        <v>98</v>
      </c>
      <c r="E23" s="37">
        <v>50</v>
      </c>
      <c r="F23" t="s">
        <v>73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66</v>
      </c>
      <c r="B24" s="40" t="s">
        <v>125</v>
      </c>
      <c r="C24" s="37">
        <v>100</v>
      </c>
      <c r="D24" t="s">
        <v>63</v>
      </c>
      <c r="E24" s="37"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">
        <v>124</v>
      </c>
      <c r="C25" s="37">
        <v>0</v>
      </c>
      <c r="D25" t="s">
        <v>72</v>
      </c>
      <c r="E25" s="37">
        <v>750</v>
      </c>
      <c r="F25" t="s">
        <v>136</v>
      </c>
      <c r="H25">
        <f>C25*E25/1000</f>
        <v>0</v>
      </c>
      <c r="L25" s="39">
        <f>H25*L1</f>
        <v>0</v>
      </c>
    </row>
    <row r="26" spans="1:13" x14ac:dyDescent="0.25">
      <c r="A26" t="s">
        <v>71</v>
      </c>
      <c r="B26" s="40" t="s">
        <v>123</v>
      </c>
      <c r="C26" s="37">
        <v>2</v>
      </c>
      <c r="D26" t="s">
        <v>72</v>
      </c>
      <c r="E26" s="37"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">
        <v>122</v>
      </c>
      <c r="C27" s="37">
        <v>0.15</v>
      </c>
      <c r="D27" t="s">
        <v>72</v>
      </c>
      <c r="E27" s="37"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">
        <v>121</v>
      </c>
      <c r="C28" s="37">
        <v>1.8</v>
      </c>
      <c r="D28" t="s">
        <v>72</v>
      </c>
      <c r="E28" s="37"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">
        <v>119</v>
      </c>
      <c r="C29" s="37">
        <v>0.5</v>
      </c>
      <c r="D29" t="s">
        <v>72</v>
      </c>
      <c r="E29" s="37"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40" t="s">
        <v>120</v>
      </c>
      <c r="C30" s="37">
        <v>0.125</v>
      </c>
      <c r="D30" t="s">
        <v>72</v>
      </c>
      <c r="E30" s="37">
        <v>20</v>
      </c>
      <c r="F30" t="s">
        <v>73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99</v>
      </c>
      <c r="B31" s="40" t="s">
        <v>100</v>
      </c>
      <c r="C31" s="37">
        <v>0</v>
      </c>
      <c r="D31" t="s">
        <v>72</v>
      </c>
      <c r="E31" s="37">
        <v>16</v>
      </c>
      <c r="F31" t="s">
        <v>73</v>
      </c>
      <c r="H31">
        <f t="shared" si="1"/>
        <v>0</v>
      </c>
      <c r="L31" s="39">
        <f t="shared" si="0"/>
        <v>0</v>
      </c>
    </row>
    <row r="32" spans="1:13" x14ac:dyDescent="0.25">
      <c r="A32" t="s">
        <v>78</v>
      </c>
      <c r="C32" s="41">
        <v>0.01</v>
      </c>
      <c r="E32" s="45"/>
      <c r="H32" s="42">
        <f>C32*H4</f>
        <v>6.0984000000000007</v>
      </c>
      <c r="L32" s="39">
        <f t="shared" si="0"/>
        <v>6.0984000000000007</v>
      </c>
    </row>
    <row r="33" spans="1:12" x14ac:dyDescent="0.25">
      <c r="A33" t="s">
        <v>79</v>
      </c>
      <c r="C33" s="43">
        <f>C4</f>
        <v>2.64</v>
      </c>
      <c r="D33" t="s">
        <v>80</v>
      </c>
      <c r="E33" s="37">
        <v>0</v>
      </c>
      <c r="F33" t="s">
        <v>67</v>
      </c>
      <c r="H33" s="39">
        <f>E33*C33</f>
        <v>0</v>
      </c>
      <c r="L33" s="39">
        <f t="shared" si="0"/>
        <v>0</v>
      </c>
    </row>
    <row r="34" spans="1:12" x14ac:dyDescent="0.25">
      <c r="A34" t="s">
        <v>81</v>
      </c>
      <c r="C34" s="37">
        <v>9</v>
      </c>
      <c r="D34" t="s">
        <v>72</v>
      </c>
      <c r="E34" s="37">
        <v>1.5</v>
      </c>
      <c r="F34" t="s">
        <v>73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82</v>
      </c>
      <c r="H38" s="47">
        <f>SUM(H22:H36)</f>
        <v>206.10639999999998</v>
      </c>
      <c r="K38" s="46" t="s">
        <v>83</v>
      </c>
      <c r="L38" s="39">
        <f>SUM(L22:L37)</f>
        <v>206.10639999999998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84</v>
      </c>
      <c r="L40" s="39">
        <f>L13-L38</f>
        <v>271.94479999999999</v>
      </c>
    </row>
    <row r="41" spans="1:12" x14ac:dyDescent="0.25">
      <c r="H41" s="47"/>
      <c r="K41" s="46" t="s">
        <v>85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86</v>
      </c>
      <c r="H43" s="47">
        <f>H17-H38</f>
        <v>271.94479999999999</v>
      </c>
      <c r="K43" s="46" t="s">
        <v>87</v>
      </c>
      <c r="L43" s="39">
        <f>L40+L41</f>
        <v>271.94479999999999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88</v>
      </c>
      <c r="C46" s="47">
        <f>H38/E4</f>
        <v>0.89223549783549772</v>
      </c>
    </row>
    <row r="47" spans="1:12" x14ac:dyDescent="0.25">
      <c r="C47" s="47"/>
    </row>
    <row r="48" spans="1:12" x14ac:dyDescent="0.25">
      <c r="A48" s="33" t="s">
        <v>89</v>
      </c>
      <c r="C48" s="47">
        <f>H38/C4</f>
        <v>78.070606060606053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90</v>
      </c>
      <c r="E51" s="35" t="s">
        <v>91</v>
      </c>
      <c r="F51" s="50">
        <f>H38</f>
        <v>206.10639999999998</v>
      </c>
      <c r="G51" t="s">
        <v>92</v>
      </c>
    </row>
    <row r="53" spans="1:12" x14ac:dyDescent="0.25">
      <c r="A53" t="s">
        <v>104</v>
      </c>
      <c r="C53" s="37"/>
    </row>
    <row r="54" spans="1:12" x14ac:dyDescent="0.25">
      <c r="A54" t="s">
        <v>109</v>
      </c>
      <c r="C54" s="37"/>
    </row>
    <row r="55" spans="1:12" x14ac:dyDescent="0.25">
      <c r="E55" s="34" t="s">
        <v>94</v>
      </c>
    </row>
    <row r="56" spans="1:12" x14ac:dyDescent="0.25">
      <c r="C56" s="46" t="s">
        <v>93</v>
      </c>
      <c r="D56" s="33">
        <f>MIN(QUALITY!O4:O7)</f>
        <v>231</v>
      </c>
      <c r="E56" s="33">
        <f>AVERAGE(QUALITY!O4:O7)</f>
        <v>240.5</v>
      </c>
      <c r="F56" s="33">
        <f>MAX(QUALITY!O4:O7)</f>
        <v>260</v>
      </c>
    </row>
    <row r="57" spans="1:12" x14ac:dyDescent="0.25">
      <c r="A57" s="33" t="s">
        <v>95</v>
      </c>
      <c r="C57" s="33">
        <f>MAX(QUALITY!H4:H7)</f>
        <v>2.64</v>
      </c>
      <c r="D57" s="39">
        <f>C57*(D56-$E$15)-$H$38</f>
        <v>271.94479999999999</v>
      </c>
      <c r="E57" s="39">
        <f>C57*(E56-$E$15)-$H$38</f>
        <v>297.02480000000003</v>
      </c>
      <c r="F57" s="39">
        <f>C57*(F56-$E$15)-$H$38</f>
        <v>348.50479999999993</v>
      </c>
    </row>
    <row r="58" spans="1:12" x14ac:dyDescent="0.25">
      <c r="A58" s="33" t="s">
        <v>96</v>
      </c>
      <c r="C58" s="52">
        <f>AVERAGE(QUALITY!H4:H7)</f>
        <v>1.8525</v>
      </c>
      <c r="D58" s="39">
        <f>C58*(D56-$E$15)-$H$38</f>
        <v>129.3443</v>
      </c>
      <c r="E58" s="39">
        <f>C58*(E56-$E$15)-$H$38</f>
        <v>146.94305</v>
      </c>
      <c r="F58" s="39">
        <f>C58*(F56-$E$15)-$H$38</f>
        <v>183.06679999999997</v>
      </c>
    </row>
    <row r="59" spans="1:12" x14ac:dyDescent="0.25">
      <c r="A59" s="33" t="s">
        <v>97</v>
      </c>
      <c r="C59" s="33">
        <f>MIN(QUALITY!H4:H7)</f>
        <v>1.32</v>
      </c>
      <c r="D59" s="39">
        <f>C59*(D56-$E$15)-$H$38</f>
        <v>32.919200000000018</v>
      </c>
      <c r="E59" s="39">
        <f>C59*(E56-$E$15)-$H$38</f>
        <v>45.45920000000001</v>
      </c>
      <c r="F59" s="39">
        <f>C59*(F56-$E$15)-$H$38</f>
        <v>71.19919999999999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sheetProtection algorithmName="SHA-512" hashValue="AnJrOkiLtWdYLzKXOy7jz/tiYEx1xcwN5ILKkPzmNiT3wNvjFxBifcTItDJwi2rKiY70pxyh+UR66LNrbj2PBg==" saltValue="z15spKLmELTCXF7PDmbC1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103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1.79</v>
      </c>
    </row>
    <row r="4" spans="1:13" x14ac:dyDescent="0.25">
      <c r="C4" s="36">
        <f>QUALITY!H9</f>
        <v>1.79</v>
      </c>
      <c r="D4" s="37"/>
      <c r="E4" s="37">
        <f>QUALITY!O9</f>
        <v>400</v>
      </c>
      <c r="F4" s="37"/>
      <c r="H4" s="37">
        <f>E4*C4</f>
        <v>716</v>
      </c>
      <c r="K4" s="35" t="s">
        <v>46</v>
      </c>
      <c r="L4">
        <f>L3-L6</f>
        <v>1.79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128</v>
      </c>
      <c r="C10">
        <f>C4</f>
        <v>1.79</v>
      </c>
      <c r="E10" s="36">
        <f>QUALITY!P9</f>
        <v>27.35</v>
      </c>
      <c r="H10">
        <f>E10*C10</f>
        <v>48.956500000000005</v>
      </c>
      <c r="K10" s="35" t="s">
        <v>49</v>
      </c>
      <c r="L10">
        <f>L4*E4</f>
        <v>716</v>
      </c>
    </row>
    <row r="11" spans="1:13" x14ac:dyDescent="0.25">
      <c r="A11" t="s">
        <v>129</v>
      </c>
      <c r="C11">
        <f>C4</f>
        <v>1.79</v>
      </c>
      <c r="E11" s="37">
        <v>0</v>
      </c>
      <c r="H11">
        <f>E11*C11</f>
        <v>0</v>
      </c>
      <c r="K11" s="35" t="s">
        <v>50</v>
      </c>
      <c r="L11">
        <f>L4*E15</f>
        <v>48.956500000000005</v>
      </c>
    </row>
    <row r="12" spans="1:13" x14ac:dyDescent="0.25">
      <c r="A12" t="s">
        <v>130</v>
      </c>
      <c r="C12">
        <f>C4</f>
        <v>1.79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1.79</v>
      </c>
      <c r="E13" s="37">
        <v>0</v>
      </c>
      <c r="H13">
        <f>E13*C13</f>
        <v>0</v>
      </c>
      <c r="K13" s="35" t="s">
        <v>51</v>
      </c>
      <c r="L13">
        <f>L10-L11</f>
        <v>667.04349999999999</v>
      </c>
    </row>
    <row r="14" spans="1:13" x14ac:dyDescent="0.25">
      <c r="K14" s="35"/>
    </row>
    <row r="15" spans="1:13" x14ac:dyDescent="0.25">
      <c r="C15" s="33" t="s">
        <v>52</v>
      </c>
      <c r="E15">
        <f>SUM(E10:E13)</f>
        <v>27.35</v>
      </c>
      <c r="H15">
        <f>SUM(H10:H13)</f>
        <v>48.956500000000005</v>
      </c>
      <c r="K15" s="35" t="s">
        <v>53</v>
      </c>
      <c r="L15">
        <f>L13*M15</f>
        <v>667.04349999999999</v>
      </c>
      <c r="M15" s="38">
        <v>1</v>
      </c>
    </row>
    <row r="16" spans="1:13" x14ac:dyDescent="0.25"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372.65</v>
      </c>
      <c r="H17">
        <f>H4-H15</f>
        <v>667.04349999999999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80</v>
      </c>
      <c r="D22" t="s">
        <v>63</v>
      </c>
      <c r="E22" s="37">
        <f>E4/1000</f>
        <v>0.4</v>
      </c>
      <c r="F22" t="s">
        <v>64</v>
      </c>
      <c r="H22">
        <f>C22*E22</f>
        <v>32</v>
      </c>
      <c r="I22" s="37"/>
      <c r="L22" s="39">
        <f>H22*$L$1</f>
        <v>32</v>
      </c>
    </row>
    <row r="23" spans="1:13" x14ac:dyDescent="0.25">
      <c r="A23" t="s">
        <v>65</v>
      </c>
      <c r="C23" s="37">
        <v>0</v>
      </c>
      <c r="D23" t="s">
        <v>63</v>
      </c>
      <c r="E23" s="37">
        <v>50</v>
      </c>
      <c r="F23" t="s">
        <v>64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66</v>
      </c>
      <c r="B24" s="40" t="s">
        <v>125</v>
      </c>
      <c r="C24" s="37"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">
        <v>124</v>
      </c>
      <c r="C25" s="37">
        <v>0</v>
      </c>
      <c r="D25" t="s">
        <v>69</v>
      </c>
      <c r="E25" s="37">
        <f>'COO BR'!E25</f>
        <v>750</v>
      </c>
      <c r="F25" t="s">
        <v>70</v>
      </c>
      <c r="H25">
        <f>C25*E25</f>
        <v>0</v>
      </c>
      <c r="L25" s="39">
        <f>H25*L1</f>
        <v>0</v>
      </c>
    </row>
    <row r="26" spans="1:13" x14ac:dyDescent="0.25">
      <c r="A26" t="s">
        <v>71</v>
      </c>
      <c r="B26" s="40" t="s">
        <v>123</v>
      </c>
      <c r="C26" s="37"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">
        <v>122</v>
      </c>
      <c r="C27" s="37"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">
        <v>121</v>
      </c>
      <c r="C28" s="37"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">
        <v>131</v>
      </c>
      <c r="C29" s="37">
        <v>0.5</v>
      </c>
      <c r="D29" t="s">
        <v>72</v>
      </c>
      <c r="E29" s="37">
        <f>'COO BR'!E29</f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40" t="s">
        <v>120</v>
      </c>
      <c r="C30" s="37">
        <v>0.125</v>
      </c>
      <c r="D30" t="s">
        <v>72</v>
      </c>
      <c r="E30" s="37">
        <f>'COO BR'!E30</f>
        <v>20</v>
      </c>
      <c r="F30" t="s">
        <v>73</v>
      </c>
      <c r="H30">
        <f>E30*C30</f>
        <v>2.5</v>
      </c>
      <c r="L30" s="39">
        <f t="shared" si="0"/>
        <v>2.5</v>
      </c>
    </row>
    <row r="31" spans="1:13" x14ac:dyDescent="0.25">
      <c r="A31" t="s">
        <v>78</v>
      </c>
      <c r="C31" s="41">
        <v>0.01</v>
      </c>
      <c r="E31" s="37"/>
      <c r="H31" s="42">
        <f>C31*H4</f>
        <v>7.16</v>
      </c>
      <c r="L31" s="39">
        <f t="shared" si="0"/>
        <v>7.16</v>
      </c>
    </row>
    <row r="32" spans="1:13" x14ac:dyDescent="0.25">
      <c r="A32" t="s">
        <v>79</v>
      </c>
      <c r="C32" s="43">
        <f>C13</f>
        <v>1.79</v>
      </c>
      <c r="D32" t="s">
        <v>80</v>
      </c>
      <c r="E32" s="37">
        <v>0</v>
      </c>
      <c r="F32" t="s">
        <v>67</v>
      </c>
      <c r="H32" s="39">
        <f>E32*C32</f>
        <v>0</v>
      </c>
      <c r="L32" s="39">
        <f t="shared" si="0"/>
        <v>0</v>
      </c>
    </row>
    <row r="33" spans="1:12" x14ac:dyDescent="0.25">
      <c r="A33" t="s">
        <v>81</v>
      </c>
      <c r="C33" s="37">
        <v>9</v>
      </c>
      <c r="D33" t="s">
        <v>72</v>
      </c>
      <c r="E33" s="37">
        <f>'COO BR'!E34</f>
        <v>1.5</v>
      </c>
      <c r="F33" t="s">
        <v>73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82</v>
      </c>
      <c r="H37">
        <f>SUM(H22:H35)</f>
        <v>219.96</v>
      </c>
      <c r="K37" s="46" t="s">
        <v>83</v>
      </c>
      <c r="L37" s="39">
        <f>SUM(L22:L36)</f>
        <v>219.96</v>
      </c>
    </row>
    <row r="38" spans="1:12" x14ac:dyDescent="0.25">
      <c r="K38" s="46"/>
      <c r="L38" s="39"/>
    </row>
    <row r="39" spans="1:12" x14ac:dyDescent="0.25">
      <c r="K39" s="46" t="s">
        <v>84</v>
      </c>
      <c r="L39" s="39">
        <f>L13-L37</f>
        <v>447.08349999999996</v>
      </c>
    </row>
    <row r="40" spans="1:12" x14ac:dyDescent="0.25">
      <c r="K40" s="46" t="s">
        <v>85</v>
      </c>
      <c r="L40" s="39">
        <f>L6*E17</f>
        <v>0</v>
      </c>
    </row>
    <row r="41" spans="1:12" x14ac:dyDescent="0.25">
      <c r="K41" s="46"/>
      <c r="L41" s="39"/>
    </row>
    <row r="42" spans="1:12" x14ac:dyDescent="0.25">
      <c r="F42" s="46" t="s">
        <v>86</v>
      </c>
      <c r="H42" s="47">
        <f>H17-H37</f>
        <v>447.08349999999996</v>
      </c>
      <c r="K42" s="46" t="s">
        <v>87</v>
      </c>
      <c r="L42" s="39">
        <f>L39+L40</f>
        <v>447.08349999999996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88</v>
      </c>
      <c r="C45" s="47">
        <f>H37/E4</f>
        <v>0.54990000000000006</v>
      </c>
    </row>
    <row r="46" spans="1:12" x14ac:dyDescent="0.25">
      <c r="C46" s="47"/>
    </row>
    <row r="47" spans="1:12" x14ac:dyDescent="0.25">
      <c r="A47" s="33" t="s">
        <v>89</v>
      </c>
      <c r="C47" s="47">
        <f>H37/C4</f>
        <v>122.88268156424581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90</v>
      </c>
      <c r="E50" s="35" t="s">
        <v>91</v>
      </c>
      <c r="F50" s="7">
        <f>H37</f>
        <v>219.96</v>
      </c>
      <c r="G50" t="s">
        <v>92</v>
      </c>
    </row>
    <row r="52" spans="1:12" x14ac:dyDescent="0.25">
      <c r="A52" t="s">
        <v>104</v>
      </c>
      <c r="C52" s="37"/>
    </row>
    <row r="53" spans="1:12" x14ac:dyDescent="0.25">
      <c r="A53" t="s">
        <v>109</v>
      </c>
      <c r="C53" s="37"/>
    </row>
    <row r="54" spans="1:12" x14ac:dyDescent="0.25">
      <c r="E54" s="34" t="s">
        <v>94</v>
      </c>
    </row>
    <row r="55" spans="1:12" x14ac:dyDescent="0.25">
      <c r="C55" s="46" t="s">
        <v>93</v>
      </c>
      <c r="D55" s="33">
        <f>MIN(QUALITY!O8:O11)</f>
        <v>350</v>
      </c>
      <c r="E55" s="33">
        <f>AVERAGE(QUALITY!O8:O11)</f>
        <v>392.5</v>
      </c>
      <c r="F55" s="33">
        <f>MAX(QUALITY!O8:O11)</f>
        <v>420</v>
      </c>
    </row>
    <row r="56" spans="1:12" x14ac:dyDescent="0.25">
      <c r="A56" s="33" t="s">
        <v>95</v>
      </c>
      <c r="C56" s="33">
        <f>MAX(QUALITY!H8:H11)</f>
        <v>1.87</v>
      </c>
      <c r="D56" s="39">
        <f>C56*(D55-$E$15)-$H$37</f>
        <v>383.39549999999997</v>
      </c>
      <c r="E56" s="39">
        <f>C56*(E55-$E$15)-$H$37</f>
        <v>462.87049999999999</v>
      </c>
      <c r="F56" s="39">
        <f>C56*(F55-$E$15)-$H$37</f>
        <v>514.29549999999995</v>
      </c>
    </row>
    <row r="57" spans="1:12" x14ac:dyDescent="0.25">
      <c r="A57" s="33" t="s">
        <v>96</v>
      </c>
      <c r="C57" s="52">
        <f>AVERAGE(QUALITY!H8:H11)</f>
        <v>1.5274999999999999</v>
      </c>
      <c r="D57" s="39">
        <f>C57*(D55-$E$15)-$H$37</f>
        <v>272.88787499999989</v>
      </c>
      <c r="E57" s="39">
        <f>C57*(E55-$E$15)-$H$37</f>
        <v>337.80662499999983</v>
      </c>
      <c r="F57" s="39">
        <f>C57*(F55-$E$15)-$H$37</f>
        <v>379.81287499999985</v>
      </c>
    </row>
    <row r="58" spans="1:12" x14ac:dyDescent="0.25">
      <c r="A58" s="33" t="s">
        <v>97</v>
      </c>
      <c r="C58" s="33">
        <f>MIN(QUALITY!H8:H11)</f>
        <v>1.1000000000000001</v>
      </c>
      <c r="D58" s="39">
        <f>C58*(D55-$E$15)-$H$37</f>
        <v>134.95500000000001</v>
      </c>
      <c r="E58" s="39">
        <f>C58*(E55-$E$15)-$H$37</f>
        <v>181.70500000000001</v>
      </c>
      <c r="F58" s="39">
        <f>C58*(F55-$E$15)-$H$37</f>
        <v>211.95500000000001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sheetProtection algorithmName="SHA-512" hashValue="EcrsRsMeW0H45GAjqeBjo0J4iuWe0Q3NJcKAAgQ4Fshf+NrfaFEjM7UkG6EInPXXqt5v045WJUUQLyOIJ/VZWg==" saltValue="KEC8KBDIMHiPn9h03wGcQ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132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3.83</v>
      </c>
    </row>
    <row r="4" spans="1:13" x14ac:dyDescent="0.25">
      <c r="C4" s="36">
        <f>QUALITY!H14</f>
        <v>3.83</v>
      </c>
      <c r="D4" s="37"/>
      <c r="E4" s="37">
        <f>QUALITY!O14</f>
        <v>242</v>
      </c>
      <c r="F4" s="37"/>
      <c r="H4" s="37">
        <f>E4*C4</f>
        <v>926.86</v>
      </c>
      <c r="K4" s="35" t="s">
        <v>46</v>
      </c>
      <c r="L4">
        <f>L3-L6</f>
        <v>3.83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133</v>
      </c>
      <c r="C10">
        <f>C4</f>
        <v>3.83</v>
      </c>
      <c r="E10" s="37">
        <f>QUALITY!P14</f>
        <v>29.84</v>
      </c>
      <c r="H10">
        <f>E10*C10</f>
        <v>114.2872</v>
      </c>
      <c r="K10" s="35" t="s">
        <v>49</v>
      </c>
      <c r="L10">
        <f>L4*E4</f>
        <v>926.86</v>
      </c>
    </row>
    <row r="11" spans="1:13" x14ac:dyDescent="0.25">
      <c r="A11" t="s">
        <v>134</v>
      </c>
      <c r="C11">
        <f>C4</f>
        <v>3.83</v>
      </c>
      <c r="E11" s="37">
        <v>0</v>
      </c>
      <c r="H11">
        <f>E11*C11</f>
        <v>0</v>
      </c>
      <c r="K11" s="35" t="s">
        <v>50</v>
      </c>
      <c r="L11">
        <f>L4*E15</f>
        <v>114.2872</v>
      </c>
    </row>
    <row r="12" spans="1:13" x14ac:dyDescent="0.25">
      <c r="A12" t="s">
        <v>135</v>
      </c>
      <c r="C12">
        <f>C4</f>
        <v>3.83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3.83</v>
      </c>
      <c r="E13" s="37">
        <v>0</v>
      </c>
      <c r="H13">
        <f>E13*C13</f>
        <v>0</v>
      </c>
      <c r="K13" s="35" t="s">
        <v>51</v>
      </c>
      <c r="L13">
        <f>L10-L11</f>
        <v>812.57280000000003</v>
      </c>
    </row>
    <row r="14" spans="1:13" x14ac:dyDescent="0.25">
      <c r="K14" s="35"/>
    </row>
    <row r="15" spans="1:13" x14ac:dyDescent="0.25">
      <c r="C15" s="33" t="s">
        <v>52</v>
      </c>
      <c r="E15">
        <f>SUM(E10:E13)</f>
        <v>29.84</v>
      </c>
      <c r="H15">
        <f>SUM(H10:H13)</f>
        <v>114.2872</v>
      </c>
      <c r="K15" s="35" t="s">
        <v>53</v>
      </c>
      <c r="L15">
        <f>L13*M15</f>
        <v>812.57280000000003</v>
      </c>
      <c r="M15" s="38">
        <v>1</v>
      </c>
    </row>
    <row r="16" spans="1:13" x14ac:dyDescent="0.25"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212.16</v>
      </c>
      <c r="H17">
        <f>H4-H15</f>
        <v>812.57280000000003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68</v>
      </c>
      <c r="D22" t="s">
        <v>63</v>
      </c>
      <c r="E22" s="37">
        <f>E4/1000</f>
        <v>0.24199999999999999</v>
      </c>
      <c r="F22" t="s">
        <v>64</v>
      </c>
      <c r="H22">
        <f>C22*E22</f>
        <v>16.456</v>
      </c>
      <c r="I22" s="48"/>
      <c r="L22" s="39">
        <f>H22*$L$1</f>
        <v>16.456</v>
      </c>
    </row>
    <row r="23" spans="1:13" x14ac:dyDescent="0.25">
      <c r="A23" t="s">
        <v>65</v>
      </c>
      <c r="C23" s="37">
        <v>70</v>
      </c>
      <c r="D23" t="s">
        <v>98</v>
      </c>
      <c r="E23" s="37">
        <f>'COO BR'!E23</f>
        <v>50</v>
      </c>
      <c r="F23" t="s">
        <v>73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66</v>
      </c>
      <c r="B24" s="40" t="s">
        <v>125</v>
      </c>
      <c r="C24" s="37"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">
        <v>124</v>
      </c>
      <c r="C25" s="37">
        <v>70</v>
      </c>
      <c r="D25" t="s">
        <v>72</v>
      </c>
      <c r="E25" s="37">
        <f>'COO BR'!E25</f>
        <v>750</v>
      </c>
      <c r="F25" t="s">
        <v>136</v>
      </c>
      <c r="H25">
        <f>C25*E25/1000</f>
        <v>52.5</v>
      </c>
      <c r="L25" s="39">
        <f>H25*L1</f>
        <v>52.5</v>
      </c>
    </row>
    <row r="26" spans="1:13" x14ac:dyDescent="0.25">
      <c r="A26" t="s">
        <v>71</v>
      </c>
      <c r="B26" s="40" t="s">
        <v>123</v>
      </c>
      <c r="C26" s="37"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">
        <v>122</v>
      </c>
      <c r="C27" s="37"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">
        <v>121</v>
      </c>
      <c r="C28" s="37"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">
        <v>137</v>
      </c>
      <c r="C29" s="37">
        <v>1</v>
      </c>
      <c r="D29" t="s">
        <v>72</v>
      </c>
      <c r="E29" s="37">
        <v>11</v>
      </c>
      <c r="F29" t="s">
        <v>73</v>
      </c>
      <c r="H29">
        <f>E29*C29</f>
        <v>11</v>
      </c>
      <c r="L29" s="39">
        <f t="shared" si="0"/>
        <v>11</v>
      </c>
    </row>
    <row r="30" spans="1:13" x14ac:dyDescent="0.25">
      <c r="A30" t="s">
        <v>77</v>
      </c>
      <c r="B30" s="40" t="s">
        <v>120</v>
      </c>
      <c r="C30" s="37">
        <v>7.4999999999999997E-2</v>
      </c>
      <c r="D30" t="s">
        <v>72</v>
      </c>
      <c r="E30" s="37">
        <f>'COO BR'!E30</f>
        <v>20</v>
      </c>
      <c r="F30" t="s">
        <v>73</v>
      </c>
      <c r="H30">
        <f t="shared" ref="H30:H31" si="1">E30*C30</f>
        <v>1.5</v>
      </c>
      <c r="L30" s="39">
        <f t="shared" si="0"/>
        <v>1.5</v>
      </c>
    </row>
    <row r="31" spans="1:13" x14ac:dyDescent="0.25">
      <c r="A31" t="s">
        <v>99</v>
      </c>
      <c r="B31" s="40" t="s">
        <v>100</v>
      </c>
      <c r="C31" s="37">
        <v>0</v>
      </c>
      <c r="D31" t="s">
        <v>72</v>
      </c>
      <c r="E31" s="37">
        <f>'COO BR'!E31</f>
        <v>16</v>
      </c>
      <c r="F31" t="s">
        <v>73</v>
      </c>
      <c r="H31">
        <f t="shared" si="1"/>
        <v>0</v>
      </c>
      <c r="L31" s="39">
        <f t="shared" si="0"/>
        <v>0</v>
      </c>
    </row>
    <row r="32" spans="1:13" x14ac:dyDescent="0.25">
      <c r="A32" t="s">
        <v>78</v>
      </c>
      <c r="C32" s="41">
        <v>0.01</v>
      </c>
      <c r="E32" s="45"/>
      <c r="H32" s="42">
        <f>C32*H4</f>
        <v>9.2686000000000011</v>
      </c>
      <c r="L32" s="39">
        <f t="shared" si="0"/>
        <v>9.2686000000000011</v>
      </c>
    </row>
    <row r="33" spans="1:12" x14ac:dyDescent="0.25">
      <c r="A33" t="s">
        <v>79</v>
      </c>
      <c r="C33" s="43">
        <f>C13</f>
        <v>3.83</v>
      </c>
      <c r="D33" t="s">
        <v>80</v>
      </c>
      <c r="E33" s="37">
        <v>0</v>
      </c>
      <c r="F33" t="s">
        <v>67</v>
      </c>
      <c r="H33" s="39">
        <f>E33*C33</f>
        <v>0</v>
      </c>
      <c r="L33" s="39">
        <f t="shared" si="0"/>
        <v>0</v>
      </c>
    </row>
    <row r="34" spans="1:12" x14ac:dyDescent="0.25">
      <c r="A34" t="s">
        <v>81</v>
      </c>
      <c r="C34" s="37">
        <v>9</v>
      </c>
      <c r="D34" t="s">
        <v>72</v>
      </c>
      <c r="E34" s="37">
        <f>'COO BR'!E34</f>
        <v>1.5</v>
      </c>
      <c r="F34" t="s">
        <v>73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82</v>
      </c>
      <c r="H38" s="47">
        <f>SUM(H22:H36)</f>
        <v>267.02459999999996</v>
      </c>
      <c r="K38" s="46" t="s">
        <v>83</v>
      </c>
      <c r="L38" s="39">
        <f>SUM(L22:L37)</f>
        <v>267.02459999999996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84</v>
      </c>
      <c r="L40" s="39">
        <f>L13-L38</f>
        <v>545.54820000000007</v>
      </c>
    </row>
    <row r="41" spans="1:12" x14ac:dyDescent="0.25">
      <c r="H41" s="47"/>
      <c r="K41" s="46" t="s">
        <v>85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86</v>
      </c>
      <c r="H43" s="47">
        <f>H17-H38</f>
        <v>545.54820000000007</v>
      </c>
      <c r="K43" s="46" t="s">
        <v>87</v>
      </c>
      <c r="L43" s="39">
        <f>L40+L41</f>
        <v>545.54820000000007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88</v>
      </c>
      <c r="C46" s="47">
        <f>H38/E4</f>
        <v>1.1034074380165289</v>
      </c>
    </row>
    <row r="47" spans="1:12" x14ac:dyDescent="0.25">
      <c r="C47" s="47"/>
    </row>
    <row r="48" spans="1:12" x14ac:dyDescent="0.25">
      <c r="A48" s="33" t="s">
        <v>89</v>
      </c>
      <c r="C48" s="47">
        <f>H38/C4</f>
        <v>69.719216710182764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90</v>
      </c>
      <c r="E51" s="35" t="s">
        <v>91</v>
      </c>
      <c r="F51" s="50">
        <f>H38</f>
        <v>267.02459999999996</v>
      </c>
      <c r="G51" t="s">
        <v>92</v>
      </c>
    </row>
    <row r="53" spans="1:12" x14ac:dyDescent="0.25">
      <c r="A53" t="s">
        <v>104</v>
      </c>
      <c r="C53" s="37"/>
    </row>
    <row r="54" spans="1:12" x14ac:dyDescent="0.25">
      <c r="A54" t="s">
        <v>109</v>
      </c>
      <c r="C54" s="37"/>
    </row>
    <row r="55" spans="1:12" x14ac:dyDescent="0.25">
      <c r="E55" s="34" t="s">
        <v>94</v>
      </c>
    </row>
    <row r="56" spans="1:12" x14ac:dyDescent="0.25">
      <c r="C56" s="46" t="s">
        <v>93</v>
      </c>
      <c r="D56" s="33">
        <f>MIN(QUALITY!O12:O15)</f>
        <v>242</v>
      </c>
      <c r="E56" s="33">
        <f>AVERAGE(QUALITY!O12:O15)</f>
        <v>245</v>
      </c>
      <c r="F56" s="33">
        <f>MAX(QUALITY!O12:O15)</f>
        <v>246</v>
      </c>
    </row>
    <row r="57" spans="1:12" x14ac:dyDescent="0.25">
      <c r="A57" s="33" t="s">
        <v>95</v>
      </c>
      <c r="C57" s="33">
        <f>MAX(QUALITY!H12:H15)</f>
        <v>3.83</v>
      </c>
      <c r="D57" s="39">
        <f>C57*(D56-$E$15)-$H$38</f>
        <v>545.54820000000007</v>
      </c>
      <c r="E57" s="39">
        <f>C57*(E56-$E$15)-$H$38</f>
        <v>557.03820000000007</v>
      </c>
      <c r="F57" s="39">
        <f>C57*(F56-$E$15)-$H$38</f>
        <v>560.8682</v>
      </c>
    </row>
    <row r="58" spans="1:12" x14ac:dyDescent="0.25">
      <c r="A58" s="33" t="s">
        <v>96</v>
      </c>
      <c r="C58" s="52">
        <f>AVERAGE(QUALITY!H12:H15)</f>
        <v>3.6950000000000003</v>
      </c>
      <c r="D58" s="39">
        <f>C58*(D56-$E$15)-$H$38</f>
        <v>516.90660000000014</v>
      </c>
      <c r="E58" s="39">
        <f>C58*(E56-$E$15)-$H$38</f>
        <v>527.99160000000006</v>
      </c>
      <c r="F58" s="39">
        <f>C58*(F56-$E$15)-$H$38</f>
        <v>531.68660000000011</v>
      </c>
    </row>
    <row r="59" spans="1:12" x14ac:dyDescent="0.25">
      <c r="A59" s="33" t="s">
        <v>97</v>
      </c>
      <c r="C59" s="33">
        <f>MIN(QUALITY!H12:H15)</f>
        <v>3.57</v>
      </c>
      <c r="D59" s="39">
        <f>C59*(D56-$E$15)-$H$38</f>
        <v>490.38660000000004</v>
      </c>
      <c r="E59" s="39">
        <f>C59*(E56-$E$15)-$H$38</f>
        <v>501.09659999999997</v>
      </c>
      <c r="F59" s="39">
        <f>C59*(F56-$E$15)-$H$38</f>
        <v>504.66660000000002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sheetProtection algorithmName="SHA-512" hashValue="WpbvUxFvU7vMFRZJR67bHU0wuVvQvrk58W/VtxPWGHjhFrtjkq3ImRkEUkQAdzgu+IKsxcVT8xa+0E3YPvPqeA==" saltValue="Yk4+RdZls2zuP7ZrKIuXq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12" max="12" width="10.5703125" bestFit="1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138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 s="47">
        <f>C4*L1</f>
        <v>2.6904523809523813</v>
      </c>
    </row>
    <row r="4" spans="1:13" x14ac:dyDescent="0.25">
      <c r="C4" s="36">
        <f>QUALITY!I17</f>
        <v>2.6904523809523813</v>
      </c>
      <c r="D4" s="37"/>
      <c r="E4" s="37">
        <f>QUALITY!O17</f>
        <v>400</v>
      </c>
      <c r="F4" s="37"/>
      <c r="H4" s="37">
        <f>E4*C4</f>
        <v>1076.1809523809525</v>
      </c>
      <c r="K4" s="35" t="s">
        <v>46</v>
      </c>
      <c r="L4" s="47">
        <f>L3-L6</f>
        <v>2.6904523809523813</v>
      </c>
    </row>
    <row r="5" spans="1:13" x14ac:dyDescent="0.25">
      <c r="K5" s="35"/>
      <c r="L5" s="47"/>
    </row>
    <row r="6" spans="1:13" x14ac:dyDescent="0.25">
      <c r="K6" s="35" t="s">
        <v>47</v>
      </c>
      <c r="L6" s="36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8"/>
    </row>
    <row r="8" spans="1:13" x14ac:dyDescent="0.25">
      <c r="A8" s="33" t="s">
        <v>48</v>
      </c>
      <c r="L8" s="47"/>
    </row>
    <row r="9" spans="1:13" x14ac:dyDescent="0.25">
      <c r="L9" s="47"/>
    </row>
    <row r="10" spans="1:13" x14ac:dyDescent="0.25">
      <c r="A10" t="s">
        <v>140</v>
      </c>
      <c r="C10" s="47">
        <f>C4</f>
        <v>2.6904523809523813</v>
      </c>
      <c r="E10" s="37">
        <f>QUALITY!P17</f>
        <v>46</v>
      </c>
      <c r="H10" s="47">
        <f>E10*C10</f>
        <v>123.76080952380954</v>
      </c>
      <c r="K10" s="35" t="s">
        <v>49</v>
      </c>
      <c r="L10" s="47">
        <f>L4*E4</f>
        <v>1076.1809523809525</v>
      </c>
    </row>
    <row r="11" spans="1:13" x14ac:dyDescent="0.25">
      <c r="A11" t="s">
        <v>129</v>
      </c>
      <c r="C11" s="47">
        <f>C4</f>
        <v>2.6904523809523813</v>
      </c>
      <c r="E11" s="37">
        <v>0</v>
      </c>
      <c r="H11" s="47">
        <f>E11*C11</f>
        <v>0</v>
      </c>
      <c r="K11" s="35" t="s">
        <v>50</v>
      </c>
      <c r="L11" s="47">
        <f>L4*E15</f>
        <v>161.42714285714288</v>
      </c>
    </row>
    <row r="12" spans="1:13" x14ac:dyDescent="0.25">
      <c r="A12" t="s">
        <v>130</v>
      </c>
      <c r="C12" s="47">
        <f>C4</f>
        <v>2.6904523809523813</v>
      </c>
      <c r="E12" s="37">
        <v>0</v>
      </c>
      <c r="H12" s="47">
        <f>E12*C12</f>
        <v>0</v>
      </c>
      <c r="K12" s="35"/>
      <c r="L12" s="47"/>
    </row>
    <row r="13" spans="1:13" x14ac:dyDescent="0.25">
      <c r="A13" t="s">
        <v>139</v>
      </c>
      <c r="C13" s="47">
        <f>C4</f>
        <v>2.6904523809523813</v>
      </c>
      <c r="E13" s="37">
        <v>14</v>
      </c>
      <c r="H13" s="47">
        <f>E13*C13</f>
        <v>37.666333333333341</v>
      </c>
      <c r="K13" s="35" t="s">
        <v>51</v>
      </c>
      <c r="L13" s="47">
        <f>L10-L11</f>
        <v>914.75380952380965</v>
      </c>
    </row>
    <row r="14" spans="1:13" x14ac:dyDescent="0.25">
      <c r="H14" s="47"/>
      <c r="K14" s="35"/>
      <c r="L14" s="47"/>
    </row>
    <row r="15" spans="1:13" x14ac:dyDescent="0.25">
      <c r="C15" s="33" t="s">
        <v>52</v>
      </c>
      <c r="E15">
        <f>SUM(E10:E13)</f>
        <v>60</v>
      </c>
      <c r="H15" s="47">
        <f>SUM(H10:H13)</f>
        <v>161.42714285714288</v>
      </c>
      <c r="K15" s="35" t="s">
        <v>53</v>
      </c>
      <c r="L15" s="47">
        <f>L13*M15</f>
        <v>914.75380952380965</v>
      </c>
      <c r="M15" s="38">
        <v>1</v>
      </c>
    </row>
    <row r="16" spans="1:13" x14ac:dyDescent="0.25">
      <c r="K16" s="35" t="s">
        <v>54</v>
      </c>
      <c r="L16" s="47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340</v>
      </c>
      <c r="H17" s="47">
        <f>H4-H15</f>
        <v>914.75380952380965</v>
      </c>
      <c r="K17" s="35" t="s">
        <v>56</v>
      </c>
      <c r="L17" s="4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68</v>
      </c>
      <c r="D22" t="s">
        <v>63</v>
      </c>
      <c r="E22" s="37">
        <f>'COO BR'!E22</f>
        <v>0.23100000000000001</v>
      </c>
      <c r="F22" t="s">
        <v>64</v>
      </c>
      <c r="H22">
        <f>C22*E22</f>
        <v>15.708</v>
      </c>
      <c r="I22" s="37"/>
      <c r="L22" s="39">
        <f>H22*$L$1</f>
        <v>15.708</v>
      </c>
    </row>
    <row r="23" spans="1:13" x14ac:dyDescent="0.25">
      <c r="A23" t="s">
        <v>65</v>
      </c>
      <c r="C23" s="37">
        <f>[1]INPUT!D22</f>
        <v>0</v>
      </c>
      <c r="D23" t="s">
        <v>63</v>
      </c>
      <c r="E23" s="37">
        <f>'COO BR'!E23</f>
        <v>50</v>
      </c>
      <c r="F23" t="s">
        <v>64</v>
      </c>
      <c r="H23">
        <f>E23*C23</f>
        <v>0</v>
      </c>
      <c r="L23" s="39">
        <f t="shared" ref="L23:L34" si="0">H23*$L$1</f>
        <v>0</v>
      </c>
    </row>
    <row r="24" spans="1:13" x14ac:dyDescent="0.25">
      <c r="A24" t="s">
        <v>66</v>
      </c>
      <c r="B24" s="40" t="s">
        <v>125</v>
      </c>
      <c r="C24" s="37"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">
        <v>124</v>
      </c>
      <c r="C25" s="37">
        <v>70</v>
      </c>
      <c r="D25" t="s">
        <v>69</v>
      </c>
      <c r="E25" s="37">
        <f>'COO BR'!E25</f>
        <v>750</v>
      </c>
      <c r="F25" t="s">
        <v>136</v>
      </c>
      <c r="H25">
        <f>C25*E25/1000</f>
        <v>52.5</v>
      </c>
      <c r="L25" s="39">
        <f>H25*L1</f>
        <v>52.5</v>
      </c>
    </row>
    <row r="26" spans="1:13" x14ac:dyDescent="0.25">
      <c r="A26" t="s">
        <v>71</v>
      </c>
      <c r="B26" s="40" t="s">
        <v>123</v>
      </c>
      <c r="C26" s="37">
        <f>'RAC BR'!C26</f>
        <v>2</v>
      </c>
      <c r="D26" t="s">
        <v>72</v>
      </c>
      <c r="E26" s="37">
        <f>'COO BR'!E26</f>
        <v>8</v>
      </c>
      <c r="F26" t="s">
        <v>73</v>
      </c>
      <c r="H26">
        <f t="shared" ref="H26:H31" si="1">E26*C26</f>
        <v>16</v>
      </c>
      <c r="L26" s="39">
        <f t="shared" si="0"/>
        <v>16</v>
      </c>
    </row>
    <row r="27" spans="1:13" x14ac:dyDescent="0.25">
      <c r="A27" t="s">
        <v>74</v>
      </c>
      <c r="B27" s="40" t="s">
        <v>122</v>
      </c>
      <c r="C27" s="37">
        <f>'RAC BR'!C27</f>
        <v>0.15</v>
      </c>
      <c r="D27" t="s">
        <v>72</v>
      </c>
      <c r="E27" s="37">
        <f>'COO BR'!E27</f>
        <v>50</v>
      </c>
      <c r="F27" t="s">
        <v>73</v>
      </c>
      <c r="H27">
        <f t="shared" si="1"/>
        <v>7.5</v>
      </c>
      <c r="L27" s="39">
        <f t="shared" si="0"/>
        <v>7.5</v>
      </c>
    </row>
    <row r="28" spans="1:13" x14ac:dyDescent="0.25">
      <c r="A28" t="s">
        <v>75</v>
      </c>
      <c r="B28" s="40" t="s">
        <v>121</v>
      </c>
      <c r="C28" s="37">
        <f>'RAC BR'!C28</f>
        <v>1.8</v>
      </c>
      <c r="D28" t="s">
        <v>72</v>
      </c>
      <c r="E28" s="37">
        <f>'COO BR'!E28</f>
        <v>20</v>
      </c>
      <c r="F28" t="s">
        <v>73</v>
      </c>
      <c r="H28">
        <f t="shared" si="1"/>
        <v>36</v>
      </c>
      <c r="L28" s="39">
        <f t="shared" si="0"/>
        <v>36</v>
      </c>
    </row>
    <row r="29" spans="1:13" x14ac:dyDescent="0.25">
      <c r="A29" t="s">
        <v>76</v>
      </c>
      <c r="B29" s="40" t="s">
        <v>137</v>
      </c>
      <c r="C29" s="37">
        <f>'RAC BR'!C29</f>
        <v>1</v>
      </c>
      <c r="D29" t="s">
        <v>72</v>
      </c>
      <c r="E29" s="37">
        <f>'COO BR'!E29</f>
        <v>11</v>
      </c>
      <c r="F29" t="s">
        <v>73</v>
      </c>
      <c r="H29">
        <f t="shared" si="1"/>
        <v>11</v>
      </c>
      <c r="L29" s="39">
        <f t="shared" si="0"/>
        <v>11</v>
      </c>
    </row>
    <row r="30" spans="1:13" x14ac:dyDescent="0.25">
      <c r="A30" t="s">
        <v>77</v>
      </c>
      <c r="B30" s="40" t="s">
        <v>120</v>
      </c>
      <c r="C30" s="37">
        <f>'RAC BR'!C30</f>
        <v>7.4999999999999997E-2</v>
      </c>
      <c r="D30" t="s">
        <v>72</v>
      </c>
      <c r="E30" s="37">
        <f>'COO BR'!E30</f>
        <v>20</v>
      </c>
      <c r="F30" t="s">
        <v>73</v>
      </c>
      <c r="H30">
        <f t="shared" si="1"/>
        <v>1.5</v>
      </c>
      <c r="L30" s="39">
        <f t="shared" si="0"/>
        <v>1.5</v>
      </c>
    </row>
    <row r="31" spans="1:13" x14ac:dyDescent="0.25">
      <c r="A31" t="s">
        <v>99</v>
      </c>
      <c r="B31" t="s">
        <v>100</v>
      </c>
      <c r="C31" s="37">
        <f>'RAC BR'!C31</f>
        <v>0</v>
      </c>
      <c r="D31" t="s">
        <v>72</v>
      </c>
      <c r="E31" s="37">
        <f>'COO BR'!E31</f>
        <v>16</v>
      </c>
      <c r="F31" t="s">
        <v>73</v>
      </c>
      <c r="H31">
        <f t="shared" si="1"/>
        <v>0</v>
      </c>
      <c r="L31" s="39">
        <f t="shared" si="0"/>
        <v>0</v>
      </c>
    </row>
    <row r="32" spans="1:13" x14ac:dyDescent="0.25">
      <c r="A32" t="s">
        <v>78</v>
      </c>
      <c r="C32" s="41">
        <f>[1]INPUT!I31</f>
        <v>0.01</v>
      </c>
      <c r="E32" s="37"/>
      <c r="H32" s="42">
        <f>C32*H4</f>
        <v>10.761809523809525</v>
      </c>
      <c r="L32" s="39">
        <f t="shared" si="0"/>
        <v>10.761809523809525</v>
      </c>
    </row>
    <row r="33" spans="1:12" x14ac:dyDescent="0.25">
      <c r="A33" t="s">
        <v>79</v>
      </c>
      <c r="C33" s="43">
        <f>C13</f>
        <v>2.6904523809523813</v>
      </c>
      <c r="D33" t="s">
        <v>80</v>
      </c>
      <c r="E33" s="37">
        <v>0</v>
      </c>
      <c r="F33" t="s">
        <v>67</v>
      </c>
      <c r="H33" s="39">
        <f>E33*C33</f>
        <v>0</v>
      </c>
      <c r="L33" s="39">
        <f t="shared" si="0"/>
        <v>0</v>
      </c>
    </row>
    <row r="34" spans="1:12" x14ac:dyDescent="0.25">
      <c r="A34" t="s">
        <v>81</v>
      </c>
      <c r="C34" s="37">
        <f>[1]INPUT!D33</f>
        <v>9</v>
      </c>
      <c r="D34" t="s">
        <v>72</v>
      </c>
      <c r="E34" s="37">
        <f>'COO BR'!E34</f>
        <v>1.5</v>
      </c>
      <c r="F34" t="s">
        <v>73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82</v>
      </c>
      <c r="H38" s="47">
        <f>SUM(H22:H36)</f>
        <v>264.2698095238095</v>
      </c>
      <c r="K38" s="46" t="s">
        <v>83</v>
      </c>
      <c r="L38" s="39">
        <f>SUM(L22:L37)</f>
        <v>264.2698095238095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84</v>
      </c>
      <c r="L40" s="39">
        <f>L13-L38</f>
        <v>650.48400000000015</v>
      </c>
    </row>
    <row r="41" spans="1:12" x14ac:dyDescent="0.25">
      <c r="H41" s="47"/>
      <c r="K41" s="46" t="s">
        <v>85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86</v>
      </c>
      <c r="H43" s="47">
        <f>H17-H38</f>
        <v>650.48400000000015</v>
      </c>
      <c r="K43" s="46" t="s">
        <v>87</v>
      </c>
      <c r="L43" s="39">
        <f>L40+L41</f>
        <v>650.48400000000015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88</v>
      </c>
      <c r="C46" s="47">
        <f>H38/E4</f>
        <v>0.66067452380952374</v>
      </c>
    </row>
    <row r="47" spans="1:12" x14ac:dyDescent="0.25">
      <c r="C47" s="47"/>
    </row>
    <row r="48" spans="1:12" x14ac:dyDescent="0.25">
      <c r="A48" s="33" t="s">
        <v>89</v>
      </c>
      <c r="C48" s="47">
        <f>H38/C4</f>
        <v>98.225046239347236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90</v>
      </c>
      <c r="E51" s="35" t="s">
        <v>91</v>
      </c>
      <c r="F51" s="50">
        <f>H38</f>
        <v>264.2698095238095</v>
      </c>
      <c r="G51" t="s">
        <v>92</v>
      </c>
    </row>
    <row r="53" spans="1:12" x14ac:dyDescent="0.25">
      <c r="A53" t="s">
        <v>104</v>
      </c>
      <c r="C53" s="37"/>
    </row>
    <row r="54" spans="1:12" x14ac:dyDescent="0.25">
      <c r="A54" t="s">
        <v>109</v>
      </c>
      <c r="C54" s="37"/>
    </row>
    <row r="55" spans="1:12" x14ac:dyDescent="0.25">
      <c r="E55" s="34" t="s">
        <v>94</v>
      </c>
    </row>
    <row r="56" spans="1:12" x14ac:dyDescent="0.25">
      <c r="C56" s="46" t="s">
        <v>93</v>
      </c>
      <c r="D56" s="33">
        <f>MIN(QUALITY!$O$16:$O$19)</f>
        <v>350</v>
      </c>
      <c r="E56" s="33">
        <f>AVERAGE(QUALITY!$O$16:$O$19)</f>
        <v>375</v>
      </c>
      <c r="F56" s="33">
        <f>MAX(QUALITY!$O$16:$O$19)</f>
        <v>400</v>
      </c>
    </row>
    <row r="57" spans="1:12" x14ac:dyDescent="0.25">
      <c r="A57" s="33" t="s">
        <v>95</v>
      </c>
      <c r="C57" s="33">
        <f>MAX(QUALITY!$H$16:$H$19)</f>
        <v>3.06</v>
      </c>
      <c r="D57" s="39">
        <f>C57*(D56-$E$15)-$H$38</f>
        <v>623.13019047619048</v>
      </c>
      <c r="E57" s="39">
        <f>C57*(E56-$E$15)-$H$38</f>
        <v>699.63019047619048</v>
      </c>
      <c r="F57" s="39">
        <f>C57*(F56-$E$15)-$H$38</f>
        <v>776.13019047619059</v>
      </c>
    </row>
    <row r="58" spans="1:12" x14ac:dyDescent="0.25">
      <c r="A58" s="33" t="s">
        <v>96</v>
      </c>
      <c r="C58" s="52">
        <f>AVERAGE(QUALITY!$H$16:$H$19)</f>
        <v>2.9175000000000004</v>
      </c>
      <c r="D58" s="39">
        <f>C58*(D56-$E$15)-$H$38</f>
        <v>581.80519047619066</v>
      </c>
      <c r="E58" s="39">
        <f>C58*(E56-$E$15)-$H$38</f>
        <v>654.74269047619066</v>
      </c>
      <c r="F58" s="39">
        <f>C58*(F56-$E$15)-$H$38</f>
        <v>727.68019047619066</v>
      </c>
    </row>
    <row r="59" spans="1:12" x14ac:dyDescent="0.25">
      <c r="A59" s="33" t="s">
        <v>97</v>
      </c>
      <c r="C59" s="33">
        <f>MIN(QUALITY!$H$16:$H$19)</f>
        <v>2.79</v>
      </c>
      <c r="D59" s="39">
        <f>C59*(D56-$E$15)-$H$38</f>
        <v>544.83019047619052</v>
      </c>
      <c r="E59" s="39">
        <f>C59*(E56-$E$15)-$H$38</f>
        <v>614.58019047619052</v>
      </c>
      <c r="F59" s="39">
        <f>C59*(F56-$E$15)-$H$38</f>
        <v>684.33019047619052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sheetProtection algorithmName="SHA-512" hashValue="nKzx8f1ljTNCuOfnQJSRCxvv4cOy7lXHpUyp5sGpsw67le+yn71djFDLqgXjXE4DASAurmf+b0rTBKhvOIlPWw==" saltValue="q5WPS62sAwOzq5x9Sz2jb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141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5.82</v>
      </c>
    </row>
    <row r="4" spans="1:13" x14ac:dyDescent="0.25">
      <c r="C4" s="36">
        <f>QUALITY!H22</f>
        <v>5.82</v>
      </c>
      <c r="D4" s="37"/>
      <c r="E4" s="37">
        <f>QUALITY!O22</f>
        <v>243</v>
      </c>
      <c r="F4" s="37"/>
      <c r="H4" s="37">
        <f>E4*C4</f>
        <v>1414.26</v>
      </c>
      <c r="K4" s="35" t="s">
        <v>46</v>
      </c>
      <c r="L4">
        <f>L3-L6</f>
        <v>5.82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128</v>
      </c>
      <c r="C10">
        <f>C4</f>
        <v>5.82</v>
      </c>
      <c r="E10" s="37">
        <f>QUALITY!P22</f>
        <v>19.45</v>
      </c>
      <c r="H10">
        <f>E10*C10</f>
        <v>113.199</v>
      </c>
      <c r="K10" s="35" t="s">
        <v>49</v>
      </c>
      <c r="L10">
        <f>L4*E4</f>
        <v>1414.26</v>
      </c>
    </row>
    <row r="11" spans="1:13" x14ac:dyDescent="0.25">
      <c r="A11" t="s">
        <v>129</v>
      </c>
      <c r="C11">
        <f>C4</f>
        <v>5.82</v>
      </c>
      <c r="E11" s="37">
        <v>0</v>
      </c>
      <c r="H11">
        <f>E11*C11</f>
        <v>0</v>
      </c>
      <c r="K11" s="35" t="s">
        <v>50</v>
      </c>
      <c r="L11">
        <f>L4*E15</f>
        <v>113.199</v>
      </c>
    </row>
    <row r="12" spans="1:13" x14ac:dyDescent="0.25">
      <c r="A12" t="s">
        <v>142</v>
      </c>
      <c r="C12">
        <f>C4</f>
        <v>5.82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5.82</v>
      </c>
      <c r="E13" s="37">
        <v>0</v>
      </c>
      <c r="H13">
        <f>E13*C13</f>
        <v>0</v>
      </c>
      <c r="K13" s="35" t="s">
        <v>51</v>
      </c>
      <c r="L13">
        <f>L10-L11</f>
        <v>1301.0609999999999</v>
      </c>
    </row>
    <row r="14" spans="1:13" x14ac:dyDescent="0.25">
      <c r="K14" s="35"/>
    </row>
    <row r="15" spans="1:13" x14ac:dyDescent="0.25">
      <c r="C15" s="33" t="s">
        <v>52</v>
      </c>
      <c r="E15">
        <f>SUM(E10:E13)</f>
        <v>19.45</v>
      </c>
      <c r="H15">
        <f>SUM(H10:H13)</f>
        <v>113.199</v>
      </c>
      <c r="K15" s="35" t="s">
        <v>53</v>
      </c>
      <c r="L15">
        <f>L13*M15</f>
        <v>1301.0609999999999</v>
      </c>
      <c r="M15" s="38">
        <v>1</v>
      </c>
    </row>
    <row r="16" spans="1:13" x14ac:dyDescent="0.25"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223.55</v>
      </c>
      <c r="H17">
        <f>H4-H15</f>
        <v>1301.0609999999999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v>68</v>
      </c>
      <c r="D22" t="s">
        <v>63</v>
      </c>
      <c r="E22" s="37">
        <f>E4/1000</f>
        <v>0.24299999999999999</v>
      </c>
      <c r="F22" t="s">
        <v>64</v>
      </c>
      <c r="H22">
        <f>C22*E22</f>
        <v>16.524000000000001</v>
      </c>
      <c r="I22" s="48"/>
      <c r="L22" s="39">
        <f>H22*$L$1</f>
        <v>16.524000000000001</v>
      </c>
    </row>
    <row r="23" spans="1:13" x14ac:dyDescent="0.25">
      <c r="A23" t="s">
        <v>65</v>
      </c>
      <c r="C23" s="37">
        <f>'COO BR'!C23</f>
        <v>70</v>
      </c>
      <c r="D23" t="s">
        <v>98</v>
      </c>
      <c r="E23" s="37">
        <f>'COO BR'!E23</f>
        <v>50</v>
      </c>
      <c r="F23" t="s">
        <v>73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66</v>
      </c>
      <c r="B24" s="37" t="str">
        <f>'COO BR'!B24</f>
        <v>DAP</v>
      </c>
      <c r="C24" s="37">
        <f>'COO BR'!C24</f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37" t="str">
        <f>'COO BR'!B25</f>
        <v>UAN</v>
      </c>
      <c r="C25" s="37">
        <f>'COO BR'!C25</f>
        <v>0</v>
      </c>
      <c r="D25" t="s">
        <v>72</v>
      </c>
      <c r="E25" s="37">
        <f>'COO BR'!E25</f>
        <v>750</v>
      </c>
      <c r="F25" t="s">
        <v>136</v>
      </c>
      <c r="H25">
        <f>C25*E25/1000</f>
        <v>0</v>
      </c>
      <c r="L25" s="39">
        <f>H25*L1</f>
        <v>0</v>
      </c>
    </row>
    <row r="26" spans="1:13" x14ac:dyDescent="0.25">
      <c r="A26" t="s">
        <v>71</v>
      </c>
      <c r="B26" s="37" t="str">
        <f>'COO BR'!B26</f>
        <v>Ultramax</v>
      </c>
      <c r="C26" s="37">
        <f>'COO BR'!C26</f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37" t="str">
        <f>'COO BR'!B27</f>
        <v>Striker</v>
      </c>
      <c r="C27" s="37">
        <f>'COO BR'!C27</f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37" t="str">
        <f>'COO BR'!B28</f>
        <v>Jedi Duo</v>
      </c>
      <c r="C28" s="37">
        <f>'COO BR'!C28</f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37" t="str">
        <f>'COO BR'!B29</f>
        <v>MCPA</v>
      </c>
      <c r="C29" s="37">
        <f>'COO BR'!C29</f>
        <v>0.5</v>
      </c>
      <c r="D29" t="s">
        <v>72</v>
      </c>
      <c r="E29" s="37">
        <f>'COO BR'!E29</f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37" t="str">
        <f>'COO BR'!B30</f>
        <v>Lontrel</v>
      </c>
      <c r="C30" s="37">
        <f>'COO BR'!C30</f>
        <v>0.125</v>
      </c>
      <c r="D30" t="s">
        <v>72</v>
      </c>
      <c r="E30" s="37">
        <f>'COO BR'!E30</f>
        <v>20</v>
      </c>
      <c r="F30" t="s">
        <v>73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99</v>
      </c>
      <c r="B31" s="37" t="str">
        <f>'COO BR'!B31</f>
        <v>Tilt</v>
      </c>
      <c r="C31" s="37">
        <v>0.5</v>
      </c>
      <c r="D31" t="s">
        <v>72</v>
      </c>
      <c r="E31" s="37">
        <f>'COO BR'!E31</f>
        <v>16</v>
      </c>
      <c r="F31" t="s">
        <v>73</v>
      </c>
      <c r="H31">
        <f t="shared" si="1"/>
        <v>8</v>
      </c>
      <c r="L31" s="39">
        <f t="shared" si="0"/>
        <v>8</v>
      </c>
    </row>
    <row r="32" spans="1:13" x14ac:dyDescent="0.25">
      <c r="A32" t="s">
        <v>78</v>
      </c>
      <c r="C32" s="41">
        <v>0.01</v>
      </c>
      <c r="E32" s="37"/>
      <c r="H32" s="42">
        <f>C32*H4</f>
        <v>14.1426</v>
      </c>
      <c r="L32" s="39">
        <f t="shared" si="0"/>
        <v>14.1426</v>
      </c>
    </row>
    <row r="33" spans="1:12" x14ac:dyDescent="0.25">
      <c r="A33" t="s">
        <v>79</v>
      </c>
      <c r="C33" s="43">
        <f>C13</f>
        <v>5.82</v>
      </c>
      <c r="D33" t="s">
        <v>80</v>
      </c>
      <c r="E33" s="37">
        <f>'COO BR'!E33</f>
        <v>0</v>
      </c>
      <c r="F33" t="s">
        <v>67</v>
      </c>
      <c r="H33" s="39">
        <f>E33*C33</f>
        <v>0</v>
      </c>
      <c r="L33" s="39">
        <f t="shared" si="0"/>
        <v>0</v>
      </c>
    </row>
    <row r="34" spans="1:12" x14ac:dyDescent="0.25">
      <c r="A34" t="s">
        <v>81</v>
      </c>
      <c r="C34" s="37">
        <f>'COO BR'!C34</f>
        <v>9</v>
      </c>
      <c r="D34" t="s">
        <v>72</v>
      </c>
      <c r="E34" s="37">
        <f>'COO BR'!E34</f>
        <v>1.5</v>
      </c>
      <c r="F34" t="s">
        <v>73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82</v>
      </c>
      <c r="H38" s="39">
        <f>SUM(H22:H36)</f>
        <v>222.9666</v>
      </c>
      <c r="K38" s="46" t="s">
        <v>83</v>
      </c>
      <c r="L38" s="39">
        <f>SUM(L22:L37)</f>
        <v>222.9666</v>
      </c>
    </row>
    <row r="39" spans="1:12" x14ac:dyDescent="0.25">
      <c r="H39" s="39"/>
      <c r="K39" s="46"/>
      <c r="L39" s="39"/>
    </row>
    <row r="40" spans="1:12" x14ac:dyDescent="0.25">
      <c r="H40" s="39"/>
      <c r="K40" s="46" t="s">
        <v>84</v>
      </c>
      <c r="L40" s="39">
        <f>L13-L38</f>
        <v>1078.0944</v>
      </c>
    </row>
    <row r="41" spans="1:12" x14ac:dyDescent="0.25">
      <c r="H41" s="39"/>
      <c r="K41" s="46" t="s">
        <v>85</v>
      </c>
      <c r="L41" s="39">
        <f>L6*E17</f>
        <v>0</v>
      </c>
    </row>
    <row r="42" spans="1:12" x14ac:dyDescent="0.25">
      <c r="H42" s="39"/>
      <c r="K42" s="46"/>
      <c r="L42" s="39"/>
    </row>
    <row r="43" spans="1:12" x14ac:dyDescent="0.25">
      <c r="F43" s="46" t="s">
        <v>86</v>
      </c>
      <c r="H43" s="39">
        <f>H17-H38</f>
        <v>1078.0944</v>
      </c>
      <c r="K43" s="46" t="s">
        <v>87</v>
      </c>
      <c r="L43" s="39">
        <f>L40+L41</f>
        <v>1078.0944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88</v>
      </c>
      <c r="C46" s="47">
        <f>H38/E4</f>
        <v>0.91755802469135805</v>
      </c>
    </row>
    <row r="47" spans="1:12" x14ac:dyDescent="0.25">
      <c r="C47" s="47"/>
    </row>
    <row r="48" spans="1:12" x14ac:dyDescent="0.25">
      <c r="A48" s="33" t="s">
        <v>89</v>
      </c>
      <c r="C48" s="47">
        <f>H38/C4</f>
        <v>38.310412371134021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90</v>
      </c>
      <c r="E51" s="35" t="s">
        <v>91</v>
      </c>
      <c r="F51" s="53">
        <f>H38</f>
        <v>222.9666</v>
      </c>
      <c r="G51" t="s">
        <v>92</v>
      </c>
    </row>
    <row r="53" spans="1:12" x14ac:dyDescent="0.25">
      <c r="A53" t="s">
        <v>104</v>
      </c>
      <c r="C53" s="37"/>
    </row>
    <row r="54" spans="1:12" x14ac:dyDescent="0.25">
      <c r="A54" t="s">
        <v>109</v>
      </c>
      <c r="C54" s="37"/>
    </row>
    <row r="55" spans="1:12" x14ac:dyDescent="0.25">
      <c r="E55" s="34" t="s">
        <v>94</v>
      </c>
    </row>
    <row r="56" spans="1:12" x14ac:dyDescent="0.25">
      <c r="C56" s="46" t="s">
        <v>93</v>
      </c>
      <c r="D56" s="33">
        <f>MIN(QUALITY!$O$20:$O$23)</f>
        <v>243</v>
      </c>
      <c r="E56" s="33">
        <f>AVERAGE(QUALITY!$O$20:$O$23)</f>
        <v>245.5</v>
      </c>
      <c r="F56" s="33">
        <f>MAX(QUALITY!$O$20:$O$23)</f>
        <v>248</v>
      </c>
    </row>
    <row r="57" spans="1:12" x14ac:dyDescent="0.25">
      <c r="A57" s="33" t="s">
        <v>95</v>
      </c>
      <c r="C57" s="33">
        <f>MAX(QUALITY!$H$20:$H$23)</f>
        <v>5.82</v>
      </c>
      <c r="D57" s="39">
        <f>C57*(D56-$E$15)-$H$38</f>
        <v>1078.0944000000002</v>
      </c>
      <c r="E57" s="39">
        <f>C57*(E56-$E$15)-$H$38</f>
        <v>1092.6444000000001</v>
      </c>
      <c r="F57" s="39">
        <f>C57*(F56-$E$15)-$H$38</f>
        <v>1107.1944000000001</v>
      </c>
    </row>
    <row r="58" spans="1:12" x14ac:dyDescent="0.25">
      <c r="A58" s="33" t="s">
        <v>96</v>
      </c>
      <c r="C58" s="33">
        <f>AVERAGE(QUALITY!$H$20:$H$23)</f>
        <v>5.49</v>
      </c>
      <c r="D58" s="39">
        <f>C58*(D56-$E$15)-$H$38</f>
        <v>1004.3229000000001</v>
      </c>
      <c r="E58" s="39">
        <f>C58*(E56-$E$15)-$H$38</f>
        <v>1018.0479</v>
      </c>
      <c r="F58" s="39">
        <f>C58*(F56-$E$15)-$H$38</f>
        <v>1031.7729000000002</v>
      </c>
    </row>
    <row r="59" spans="1:12" x14ac:dyDescent="0.25">
      <c r="A59" s="33" t="s">
        <v>97</v>
      </c>
      <c r="C59" s="33">
        <f>MIN(QUALITY!$H$20:$H$23)</f>
        <v>5.15</v>
      </c>
      <c r="D59" s="39">
        <f>C59*(D56-$E$15)-$H$38</f>
        <v>928.31590000000006</v>
      </c>
      <c r="E59" s="39">
        <f>C59*(E56-$E$15)-$H$38</f>
        <v>941.19090000000006</v>
      </c>
      <c r="F59" s="39">
        <f>C59*(F56-$E$15)-$H$38</f>
        <v>954.06590000000006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sheetProtection algorithmName="SHA-512" hashValue="/Q4t9Q1w2LE6SmoRzujhXuJCiriT0CZxHb4Kbc8dw4zURKxmmyT9/svRG4c6tu3/YU5c3s87JRe743i9sK/iqw==" saltValue="LoaO31jpl6FzCf6vaSs9w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143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3.8</v>
      </c>
    </row>
    <row r="4" spans="1:13" x14ac:dyDescent="0.25">
      <c r="C4" s="36">
        <f>QUALITY!I26</f>
        <v>3.8</v>
      </c>
      <c r="D4" s="37"/>
      <c r="E4" s="37">
        <f>QUALITY!O26</f>
        <v>420</v>
      </c>
      <c r="F4" s="37"/>
      <c r="H4" s="37">
        <f>E4*C4</f>
        <v>1596</v>
      </c>
      <c r="K4" s="35" t="s">
        <v>46</v>
      </c>
      <c r="L4">
        <f>L3-L6</f>
        <v>3.8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145</v>
      </c>
      <c r="C10">
        <f>C4</f>
        <v>3.8</v>
      </c>
      <c r="E10" s="37">
        <f>QUALITY!P25</f>
        <v>32.15</v>
      </c>
      <c r="H10">
        <f>E10*C10</f>
        <v>122.16999999999999</v>
      </c>
      <c r="K10" s="35" t="s">
        <v>49</v>
      </c>
      <c r="L10">
        <f>L4*E4</f>
        <v>1596</v>
      </c>
    </row>
    <row r="11" spans="1:13" x14ac:dyDescent="0.25">
      <c r="A11" t="s">
        <v>144</v>
      </c>
      <c r="C11">
        <f>C4</f>
        <v>3.8</v>
      </c>
      <c r="E11" s="37">
        <v>0</v>
      </c>
      <c r="H11">
        <f>E11*C11</f>
        <v>0</v>
      </c>
      <c r="K11" s="35" t="s">
        <v>50</v>
      </c>
      <c r="L11">
        <f>L4*E15</f>
        <v>122.16999999999999</v>
      </c>
    </row>
    <row r="12" spans="1:13" x14ac:dyDescent="0.25">
      <c r="A12">
        <v>3</v>
      </c>
      <c r="C12">
        <f>C4</f>
        <v>3.8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3.8</v>
      </c>
      <c r="E13" s="37">
        <v>0</v>
      </c>
      <c r="H13">
        <f>E13*C13</f>
        <v>0</v>
      </c>
      <c r="K13" s="35" t="s">
        <v>51</v>
      </c>
      <c r="L13">
        <f>L10-L11</f>
        <v>1473.83</v>
      </c>
    </row>
    <row r="14" spans="1:13" x14ac:dyDescent="0.25">
      <c r="K14" s="35"/>
    </row>
    <row r="15" spans="1:13" x14ac:dyDescent="0.25">
      <c r="C15" s="33" t="s">
        <v>52</v>
      </c>
      <c r="E15">
        <f>SUM(E10:E13)</f>
        <v>32.15</v>
      </c>
      <c r="H15">
        <f>SUM(H10:H13)</f>
        <v>122.16999999999999</v>
      </c>
      <c r="K15" s="35" t="s">
        <v>53</v>
      </c>
      <c r="L15">
        <f>L13*M15</f>
        <v>1473.83</v>
      </c>
      <c r="M15" s="38">
        <v>1</v>
      </c>
    </row>
    <row r="16" spans="1:13" x14ac:dyDescent="0.25"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387.85</v>
      </c>
      <c r="H17">
        <f>H4-H15</f>
        <v>1473.83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f>'COO BR'!C22</f>
        <v>68</v>
      </c>
      <c r="D22" t="s">
        <v>63</v>
      </c>
      <c r="E22" s="37">
        <f>E4/1000</f>
        <v>0.42</v>
      </c>
      <c r="F22" t="s">
        <v>64</v>
      </c>
      <c r="H22">
        <f>C22*E22</f>
        <v>28.56</v>
      </c>
      <c r="I22" s="37"/>
      <c r="L22" s="39">
        <f>H22*$L$1</f>
        <v>28.56</v>
      </c>
    </row>
    <row r="23" spans="1:13" x14ac:dyDescent="0.25">
      <c r="A23" t="s">
        <v>65</v>
      </c>
      <c r="C23" s="37">
        <v>0</v>
      </c>
      <c r="D23" t="s">
        <v>63</v>
      </c>
      <c r="E23" s="37">
        <f>'COO BR'!E23</f>
        <v>50</v>
      </c>
      <c r="F23" t="s">
        <v>64</v>
      </c>
      <c r="H23">
        <f>E23*C23</f>
        <v>0</v>
      </c>
      <c r="L23" s="39">
        <f t="shared" ref="L23:L33" si="0">H23*$L$1</f>
        <v>0</v>
      </c>
    </row>
    <row r="24" spans="1:13" x14ac:dyDescent="0.25">
      <c r="A24" t="s">
        <v>66</v>
      </c>
      <c r="B24" s="40" t="s">
        <v>125</v>
      </c>
      <c r="C24" s="37">
        <f>'COO BR'!C24</f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">
        <v>124</v>
      </c>
      <c r="C25" s="37">
        <f>'COO BR'!C25</f>
        <v>0</v>
      </c>
      <c r="D25" t="s">
        <v>69</v>
      </c>
      <c r="E25" s="37">
        <f>'COO BR'!E25</f>
        <v>750</v>
      </c>
      <c r="F25" t="s">
        <v>146</v>
      </c>
      <c r="H25" s="42">
        <f>C25*E25/1000</f>
        <v>0</v>
      </c>
      <c r="L25" s="39">
        <f>H25*L1</f>
        <v>0</v>
      </c>
    </row>
    <row r="26" spans="1:13" x14ac:dyDescent="0.25">
      <c r="A26" t="s">
        <v>71</v>
      </c>
      <c r="B26" s="40" t="s">
        <v>123</v>
      </c>
      <c r="C26" s="37">
        <f>'COO BR'!C26</f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">
        <v>122</v>
      </c>
      <c r="C27" s="37">
        <f>'COO BR'!C27</f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">
        <v>121</v>
      </c>
      <c r="C28" s="37">
        <f>'COO BR'!C28</f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">
        <v>137</v>
      </c>
      <c r="C29" s="37">
        <f>'COO BR'!C29</f>
        <v>0.5</v>
      </c>
      <c r="D29" t="s">
        <v>72</v>
      </c>
      <c r="E29" s="37">
        <f>'COO BR'!E29</f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40" t="s">
        <v>120</v>
      </c>
      <c r="C30" s="37">
        <f>'COO BR'!C30</f>
        <v>0.125</v>
      </c>
      <c r="D30" t="s">
        <v>72</v>
      </c>
      <c r="E30" s="37">
        <f>'COO BR'!E30</f>
        <v>20</v>
      </c>
      <c r="F30" t="s">
        <v>73</v>
      </c>
      <c r="H30">
        <f>E30*C30</f>
        <v>2.5</v>
      </c>
      <c r="L30" s="39">
        <f t="shared" si="0"/>
        <v>2.5</v>
      </c>
    </row>
    <row r="31" spans="1:13" x14ac:dyDescent="0.25">
      <c r="A31" t="s">
        <v>78</v>
      </c>
      <c r="C31" s="41">
        <v>0.01</v>
      </c>
      <c r="E31" s="37"/>
      <c r="H31" s="42">
        <f>C31*H4</f>
        <v>15.96</v>
      </c>
      <c r="L31" s="39">
        <f t="shared" si="0"/>
        <v>15.96</v>
      </c>
    </row>
    <row r="32" spans="1:13" x14ac:dyDescent="0.25">
      <c r="A32" t="s">
        <v>79</v>
      </c>
      <c r="C32" s="43">
        <f>C13</f>
        <v>3.8</v>
      </c>
      <c r="D32" t="s">
        <v>80</v>
      </c>
      <c r="E32" s="37">
        <v>0</v>
      </c>
      <c r="F32" t="s">
        <v>67</v>
      </c>
      <c r="H32" s="39">
        <f>E32*C32</f>
        <v>0</v>
      </c>
      <c r="L32" s="39">
        <f t="shared" si="0"/>
        <v>0</v>
      </c>
    </row>
    <row r="33" spans="1:12" x14ac:dyDescent="0.25">
      <c r="A33" t="s">
        <v>81</v>
      </c>
      <c r="C33" s="37">
        <v>9</v>
      </c>
      <c r="D33" t="s">
        <v>72</v>
      </c>
      <c r="E33" s="37">
        <f>'COO BR'!E34</f>
        <v>1.5</v>
      </c>
      <c r="F33" t="s">
        <v>73</v>
      </c>
      <c r="H33">
        <f>E33*C33</f>
        <v>13.5</v>
      </c>
      <c r="L33" s="39">
        <f t="shared" si="0"/>
        <v>13.5</v>
      </c>
    </row>
    <row r="34" spans="1:12" x14ac:dyDescent="0.25">
      <c r="C34" s="44"/>
      <c r="E34" s="45"/>
      <c r="L34" s="39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F37" s="46" t="s">
        <v>82</v>
      </c>
      <c r="H37">
        <f>SUM(H22:H35)</f>
        <v>225.32</v>
      </c>
      <c r="K37" s="46" t="s">
        <v>83</v>
      </c>
      <c r="L37" s="39">
        <f>SUM(L22:L36)</f>
        <v>225.32</v>
      </c>
    </row>
    <row r="38" spans="1:12" x14ac:dyDescent="0.25">
      <c r="K38" s="46"/>
      <c r="L38" s="39"/>
    </row>
    <row r="39" spans="1:12" x14ac:dyDescent="0.25">
      <c r="K39" s="46" t="s">
        <v>84</v>
      </c>
      <c r="L39" s="39">
        <f>L13-L37</f>
        <v>1248.51</v>
      </c>
    </row>
    <row r="40" spans="1:12" x14ac:dyDescent="0.25">
      <c r="K40" s="46" t="s">
        <v>85</v>
      </c>
      <c r="L40" s="39">
        <f>L6*E17</f>
        <v>0</v>
      </c>
    </row>
    <row r="41" spans="1:12" x14ac:dyDescent="0.25">
      <c r="K41" s="46"/>
      <c r="L41" s="39"/>
    </row>
    <row r="42" spans="1:12" x14ac:dyDescent="0.25">
      <c r="F42" s="46" t="s">
        <v>86</v>
      </c>
      <c r="H42">
        <f>H17-H37</f>
        <v>1248.51</v>
      </c>
      <c r="K42" s="46" t="s">
        <v>87</v>
      </c>
      <c r="L42" s="39">
        <f>L39+L40</f>
        <v>1248.51</v>
      </c>
    </row>
    <row r="43" spans="1:1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5" spans="1:12" x14ac:dyDescent="0.25">
      <c r="A45" s="33" t="s">
        <v>88</v>
      </c>
      <c r="C45" s="47">
        <f>H37/E4</f>
        <v>0.53647619047619044</v>
      </c>
    </row>
    <row r="46" spans="1:12" x14ac:dyDescent="0.25">
      <c r="C46" s="47"/>
    </row>
    <row r="47" spans="1:12" x14ac:dyDescent="0.25">
      <c r="A47" s="33" t="s">
        <v>89</v>
      </c>
      <c r="C47" s="47">
        <f>H37/C4</f>
        <v>59.294736842105266</v>
      </c>
    </row>
    <row r="48" spans="1:1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50" spans="1:12" x14ac:dyDescent="0.25">
      <c r="A50" s="33" t="s">
        <v>90</v>
      </c>
      <c r="E50" s="35" t="s">
        <v>91</v>
      </c>
      <c r="F50" s="7">
        <f>H37</f>
        <v>225.32</v>
      </c>
      <c r="G50" t="s">
        <v>92</v>
      </c>
    </row>
    <row r="52" spans="1:12" x14ac:dyDescent="0.25">
      <c r="A52" t="s">
        <v>104</v>
      </c>
      <c r="C52" s="37"/>
    </row>
    <row r="53" spans="1:12" x14ac:dyDescent="0.25">
      <c r="A53" t="s">
        <v>109</v>
      </c>
      <c r="C53" s="37"/>
    </row>
    <row r="54" spans="1:12" x14ac:dyDescent="0.25">
      <c r="E54" s="34" t="s">
        <v>94</v>
      </c>
    </row>
    <row r="55" spans="1:12" x14ac:dyDescent="0.25">
      <c r="C55" s="46" t="s">
        <v>93</v>
      </c>
      <c r="D55" s="33">
        <f>MIN(QUALITY!$O$24:$O$27)</f>
        <v>400</v>
      </c>
      <c r="E55" s="33">
        <f>AVERAGE(QUALITY!$O$24:$O$27)</f>
        <v>415</v>
      </c>
      <c r="F55" s="33">
        <f>MAX(QUALITY!$O$24:$O$27)</f>
        <v>420</v>
      </c>
    </row>
    <row r="56" spans="1:12" x14ac:dyDescent="0.25">
      <c r="A56" s="33" t="s">
        <v>95</v>
      </c>
      <c r="C56" s="33">
        <f>MAX(QUALITY!$H$24:$H$27)</f>
        <v>3.98</v>
      </c>
      <c r="D56" s="39">
        <f>C56*(D55-$E$15)-$H$37</f>
        <v>1238.7230000000002</v>
      </c>
      <c r="E56" s="39">
        <f>C56*(E55-$E$15)-$H$37</f>
        <v>1298.4230000000002</v>
      </c>
      <c r="F56" s="39">
        <f>C56*(F55-$E$15)-$H$37</f>
        <v>1318.3230000000001</v>
      </c>
    </row>
    <row r="57" spans="1:12" x14ac:dyDescent="0.25">
      <c r="A57" s="33" t="s">
        <v>96</v>
      </c>
      <c r="C57" s="52">
        <f>AVERAGE(QUALITY!$H$24:$H$27)</f>
        <v>3.5674999999999999</v>
      </c>
      <c r="D57" s="39">
        <f>C57*(D55-$E$15)-$H$37</f>
        <v>1086.9848750000001</v>
      </c>
      <c r="E57" s="39">
        <f>C57*(E55-$E$15)-$H$37</f>
        <v>1140.4973750000001</v>
      </c>
      <c r="F57" s="39">
        <f>C57*(F55-$E$15)-$H$37</f>
        <v>1158.334875</v>
      </c>
    </row>
    <row r="58" spans="1:12" x14ac:dyDescent="0.25">
      <c r="A58" s="33" t="s">
        <v>97</v>
      </c>
      <c r="C58" s="33">
        <f>MIN(QUALITY!$H$24:$H$27)</f>
        <v>3.11</v>
      </c>
      <c r="D58" s="39">
        <f>C58*(D55-$E$15)-$H$37</f>
        <v>918.69350000000009</v>
      </c>
      <c r="E58" s="39">
        <f>C58*(E55-$E$15)-$H$37</f>
        <v>965.34350000000018</v>
      </c>
      <c r="F58" s="39">
        <f>C58*(F55-$E$15)-$H$37</f>
        <v>980.89350000000013</v>
      </c>
    </row>
    <row r="59" spans="1:12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</sheetData>
  <sheetProtection algorithmName="SHA-512" hashValue="HjlqfiHRGb3Vy2bWeaosNypuoiIjFeRq3JebVsdau/Y4NVmvBwmd0kTblWpmPFGqI16NtExSnqL0GATRxjDDBA==" saltValue="iis6tX7McGK3RvuR11iFN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5" x14ac:dyDescent="0.25"/>
  <cols>
    <col min="1" max="1" width="12.42578125" customWidth="1"/>
    <col min="2" max="2" width="9" customWidth="1"/>
    <col min="257" max="257" width="12.42578125" customWidth="1"/>
    <col min="258" max="258" width="9" customWidth="1"/>
    <col min="513" max="513" width="12.42578125" customWidth="1"/>
    <col min="514" max="514" width="9" customWidth="1"/>
    <col min="769" max="769" width="12.42578125" customWidth="1"/>
    <col min="770" max="770" width="9" customWidth="1"/>
    <col min="1025" max="1025" width="12.42578125" customWidth="1"/>
    <col min="1026" max="1026" width="9" customWidth="1"/>
    <col min="1281" max="1281" width="12.42578125" customWidth="1"/>
    <col min="1282" max="1282" width="9" customWidth="1"/>
    <col min="1537" max="1537" width="12.42578125" customWidth="1"/>
    <col min="1538" max="1538" width="9" customWidth="1"/>
    <col min="1793" max="1793" width="12.42578125" customWidth="1"/>
    <col min="1794" max="1794" width="9" customWidth="1"/>
    <col min="2049" max="2049" width="12.42578125" customWidth="1"/>
    <col min="2050" max="2050" width="9" customWidth="1"/>
    <col min="2305" max="2305" width="12.42578125" customWidth="1"/>
    <col min="2306" max="2306" width="9" customWidth="1"/>
    <col min="2561" max="2561" width="12.42578125" customWidth="1"/>
    <col min="2562" max="2562" width="9" customWidth="1"/>
    <col min="2817" max="2817" width="12.42578125" customWidth="1"/>
    <col min="2818" max="2818" width="9" customWidth="1"/>
    <col min="3073" max="3073" width="12.42578125" customWidth="1"/>
    <col min="3074" max="3074" width="9" customWidth="1"/>
    <col min="3329" max="3329" width="12.42578125" customWidth="1"/>
    <col min="3330" max="3330" width="9" customWidth="1"/>
    <col min="3585" max="3585" width="12.42578125" customWidth="1"/>
    <col min="3586" max="3586" width="9" customWidth="1"/>
    <col min="3841" max="3841" width="12.42578125" customWidth="1"/>
    <col min="3842" max="3842" width="9" customWidth="1"/>
    <col min="4097" max="4097" width="12.42578125" customWidth="1"/>
    <col min="4098" max="4098" width="9" customWidth="1"/>
    <col min="4353" max="4353" width="12.42578125" customWidth="1"/>
    <col min="4354" max="4354" width="9" customWidth="1"/>
    <col min="4609" max="4609" width="12.42578125" customWidth="1"/>
    <col min="4610" max="4610" width="9" customWidth="1"/>
    <col min="4865" max="4865" width="12.42578125" customWidth="1"/>
    <col min="4866" max="4866" width="9" customWidth="1"/>
    <col min="5121" max="5121" width="12.42578125" customWidth="1"/>
    <col min="5122" max="5122" width="9" customWidth="1"/>
    <col min="5377" max="5377" width="12.42578125" customWidth="1"/>
    <col min="5378" max="5378" width="9" customWidth="1"/>
    <col min="5633" max="5633" width="12.42578125" customWidth="1"/>
    <col min="5634" max="5634" width="9" customWidth="1"/>
    <col min="5889" max="5889" width="12.42578125" customWidth="1"/>
    <col min="5890" max="5890" width="9" customWidth="1"/>
    <col min="6145" max="6145" width="12.42578125" customWidth="1"/>
    <col min="6146" max="6146" width="9" customWidth="1"/>
    <col min="6401" max="6401" width="12.42578125" customWidth="1"/>
    <col min="6402" max="6402" width="9" customWidth="1"/>
    <col min="6657" max="6657" width="12.42578125" customWidth="1"/>
    <col min="6658" max="6658" width="9" customWidth="1"/>
    <col min="6913" max="6913" width="12.42578125" customWidth="1"/>
    <col min="6914" max="6914" width="9" customWidth="1"/>
    <col min="7169" max="7169" width="12.42578125" customWidth="1"/>
    <col min="7170" max="7170" width="9" customWidth="1"/>
    <col min="7425" max="7425" width="12.42578125" customWidth="1"/>
    <col min="7426" max="7426" width="9" customWidth="1"/>
    <col min="7681" max="7681" width="12.42578125" customWidth="1"/>
    <col min="7682" max="7682" width="9" customWidth="1"/>
    <col min="7937" max="7937" width="12.42578125" customWidth="1"/>
    <col min="7938" max="7938" width="9" customWidth="1"/>
    <col min="8193" max="8193" width="12.42578125" customWidth="1"/>
    <col min="8194" max="8194" width="9" customWidth="1"/>
    <col min="8449" max="8449" width="12.42578125" customWidth="1"/>
    <col min="8450" max="8450" width="9" customWidth="1"/>
    <col min="8705" max="8705" width="12.42578125" customWidth="1"/>
    <col min="8706" max="8706" width="9" customWidth="1"/>
    <col min="8961" max="8961" width="12.42578125" customWidth="1"/>
    <col min="8962" max="8962" width="9" customWidth="1"/>
    <col min="9217" max="9217" width="12.42578125" customWidth="1"/>
    <col min="9218" max="9218" width="9" customWidth="1"/>
    <col min="9473" max="9473" width="12.42578125" customWidth="1"/>
    <col min="9474" max="9474" width="9" customWidth="1"/>
    <col min="9729" max="9729" width="12.42578125" customWidth="1"/>
    <col min="9730" max="9730" width="9" customWidth="1"/>
    <col min="9985" max="9985" width="12.42578125" customWidth="1"/>
    <col min="9986" max="9986" width="9" customWidth="1"/>
    <col min="10241" max="10241" width="12.42578125" customWidth="1"/>
    <col min="10242" max="10242" width="9" customWidth="1"/>
    <col min="10497" max="10497" width="12.42578125" customWidth="1"/>
    <col min="10498" max="10498" width="9" customWidth="1"/>
    <col min="10753" max="10753" width="12.42578125" customWidth="1"/>
    <col min="10754" max="10754" width="9" customWidth="1"/>
    <col min="11009" max="11009" width="12.42578125" customWidth="1"/>
    <col min="11010" max="11010" width="9" customWidth="1"/>
    <col min="11265" max="11265" width="12.42578125" customWidth="1"/>
    <col min="11266" max="11266" width="9" customWidth="1"/>
    <col min="11521" max="11521" width="12.42578125" customWidth="1"/>
    <col min="11522" max="11522" width="9" customWidth="1"/>
    <col min="11777" max="11777" width="12.42578125" customWidth="1"/>
    <col min="11778" max="11778" width="9" customWidth="1"/>
    <col min="12033" max="12033" width="12.42578125" customWidth="1"/>
    <col min="12034" max="12034" width="9" customWidth="1"/>
    <col min="12289" max="12289" width="12.42578125" customWidth="1"/>
    <col min="12290" max="12290" width="9" customWidth="1"/>
    <col min="12545" max="12545" width="12.42578125" customWidth="1"/>
    <col min="12546" max="12546" width="9" customWidth="1"/>
    <col min="12801" max="12801" width="12.42578125" customWidth="1"/>
    <col min="12802" max="12802" width="9" customWidth="1"/>
    <col min="13057" max="13057" width="12.42578125" customWidth="1"/>
    <col min="13058" max="13058" width="9" customWidth="1"/>
    <col min="13313" max="13313" width="12.42578125" customWidth="1"/>
    <col min="13314" max="13314" width="9" customWidth="1"/>
    <col min="13569" max="13569" width="12.42578125" customWidth="1"/>
    <col min="13570" max="13570" width="9" customWidth="1"/>
    <col min="13825" max="13825" width="12.42578125" customWidth="1"/>
    <col min="13826" max="13826" width="9" customWidth="1"/>
    <col min="14081" max="14081" width="12.42578125" customWidth="1"/>
    <col min="14082" max="14082" width="9" customWidth="1"/>
    <col min="14337" max="14337" width="12.42578125" customWidth="1"/>
    <col min="14338" max="14338" width="9" customWidth="1"/>
    <col min="14593" max="14593" width="12.42578125" customWidth="1"/>
    <col min="14594" max="14594" width="9" customWidth="1"/>
    <col min="14849" max="14849" width="12.42578125" customWidth="1"/>
    <col min="14850" max="14850" width="9" customWidth="1"/>
    <col min="15105" max="15105" width="12.42578125" customWidth="1"/>
    <col min="15106" max="15106" width="9" customWidth="1"/>
    <col min="15361" max="15361" width="12.42578125" customWidth="1"/>
    <col min="15362" max="15362" width="9" customWidth="1"/>
    <col min="15617" max="15617" width="12.42578125" customWidth="1"/>
    <col min="15618" max="15618" width="9" customWidth="1"/>
    <col min="15873" max="15873" width="12.42578125" customWidth="1"/>
    <col min="15874" max="15874" width="9" customWidth="1"/>
    <col min="16129" max="16129" width="12.42578125" customWidth="1"/>
    <col min="16130" max="16130" width="9" customWidth="1"/>
  </cols>
  <sheetData>
    <row r="1" spans="1:13" ht="18" x14ac:dyDescent="0.25">
      <c r="A1" s="29" t="s">
        <v>147</v>
      </c>
      <c r="B1" s="29"/>
      <c r="C1" s="30"/>
      <c r="D1" s="29"/>
      <c r="F1" s="29"/>
      <c r="G1" s="29">
        <f>RESULTS!I1</f>
        <v>2015</v>
      </c>
      <c r="H1" s="15"/>
      <c r="I1" s="29" t="s">
        <v>40</v>
      </c>
      <c r="J1" s="15"/>
      <c r="K1" s="15"/>
      <c r="L1" s="31">
        <v>1</v>
      </c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2"/>
    </row>
    <row r="3" spans="1:13" x14ac:dyDescent="0.25">
      <c r="A3" s="33" t="s">
        <v>41</v>
      </c>
      <c r="C3" s="34" t="s">
        <v>42</v>
      </c>
      <c r="D3" s="34"/>
      <c r="E3" s="34" t="s">
        <v>43</v>
      </c>
      <c r="F3" s="34"/>
      <c r="H3" s="34" t="s">
        <v>44</v>
      </c>
      <c r="K3" s="35" t="s">
        <v>45</v>
      </c>
      <c r="L3">
        <f>C4*L1</f>
        <v>4.22</v>
      </c>
    </row>
    <row r="4" spans="1:13" x14ac:dyDescent="0.25">
      <c r="C4" s="36">
        <f>QUALITY!H30</f>
        <v>4.22</v>
      </c>
      <c r="D4" s="37"/>
      <c r="E4" s="37">
        <f>QUALITY!O30</f>
        <v>242</v>
      </c>
      <c r="F4" s="37"/>
      <c r="H4" s="37">
        <f>E4*C4</f>
        <v>1021.2399999999999</v>
      </c>
      <c r="K4" s="35" t="s">
        <v>46</v>
      </c>
      <c r="L4">
        <f>L3-L6</f>
        <v>4.22</v>
      </c>
    </row>
    <row r="5" spans="1:13" x14ac:dyDescent="0.25">
      <c r="K5" s="35"/>
    </row>
    <row r="6" spans="1:13" x14ac:dyDescent="0.25">
      <c r="K6" s="35" t="s">
        <v>47</v>
      </c>
      <c r="L6" s="37">
        <v>0</v>
      </c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x14ac:dyDescent="0.25">
      <c r="A8" s="33" t="s">
        <v>48</v>
      </c>
    </row>
    <row r="10" spans="1:13" x14ac:dyDescent="0.25">
      <c r="A10" t="s">
        <v>140</v>
      </c>
      <c r="C10">
        <f>C4</f>
        <v>4.22</v>
      </c>
      <c r="E10" s="37">
        <f>QUALITY!P30</f>
        <v>35.67</v>
      </c>
      <c r="H10" s="47">
        <f>E10*C10</f>
        <v>150.5274</v>
      </c>
      <c r="K10" s="35" t="s">
        <v>49</v>
      </c>
      <c r="L10">
        <f>L4*E4</f>
        <v>1021.2399999999999</v>
      </c>
    </row>
    <row r="11" spans="1:13" x14ac:dyDescent="0.25">
      <c r="A11" t="s">
        <v>129</v>
      </c>
      <c r="C11">
        <f>C4</f>
        <v>4.22</v>
      </c>
      <c r="E11" s="37">
        <v>0</v>
      </c>
      <c r="H11">
        <f>E11*C11</f>
        <v>0</v>
      </c>
      <c r="K11" s="35" t="s">
        <v>50</v>
      </c>
      <c r="L11">
        <f>L4*E15</f>
        <v>150.5274</v>
      </c>
    </row>
    <row r="12" spans="1:13" x14ac:dyDescent="0.25">
      <c r="A12" t="s">
        <v>142</v>
      </c>
      <c r="C12">
        <f>C4</f>
        <v>4.22</v>
      </c>
      <c r="E12" s="37">
        <v>0</v>
      </c>
      <c r="H12">
        <f>E12*C12</f>
        <v>0</v>
      </c>
      <c r="K12" s="35"/>
    </row>
    <row r="13" spans="1:13" x14ac:dyDescent="0.25">
      <c r="A13">
        <v>4</v>
      </c>
      <c r="C13">
        <f>C4</f>
        <v>4.22</v>
      </c>
      <c r="E13" s="37">
        <v>0</v>
      </c>
      <c r="H13">
        <f>E13*C13</f>
        <v>0</v>
      </c>
      <c r="K13" s="35" t="s">
        <v>51</v>
      </c>
      <c r="L13">
        <f>L10-L11</f>
        <v>870.71259999999984</v>
      </c>
    </row>
    <row r="14" spans="1:13" x14ac:dyDescent="0.25">
      <c r="K14" s="35"/>
    </row>
    <row r="15" spans="1:13" x14ac:dyDescent="0.25">
      <c r="C15" s="33" t="s">
        <v>52</v>
      </c>
      <c r="E15">
        <f>SUM(E10:E13)</f>
        <v>35.67</v>
      </c>
      <c r="H15" s="47">
        <f>SUM(H10:H13)</f>
        <v>150.5274</v>
      </c>
      <c r="K15" s="35" t="s">
        <v>53</v>
      </c>
      <c r="L15">
        <f>L13*M15</f>
        <v>870.71259999999984</v>
      </c>
      <c r="M15" s="38">
        <v>1</v>
      </c>
    </row>
    <row r="16" spans="1:13" x14ac:dyDescent="0.25">
      <c r="H16" s="47"/>
      <c r="K16" s="35" t="s">
        <v>54</v>
      </c>
      <c r="L16">
        <f>L13*M16</f>
        <v>0</v>
      </c>
      <c r="M16" s="38">
        <v>0</v>
      </c>
    </row>
    <row r="17" spans="1:13" x14ac:dyDescent="0.25">
      <c r="C17" s="33" t="s">
        <v>55</v>
      </c>
      <c r="E17">
        <f>E4-E15</f>
        <v>206.32999999999998</v>
      </c>
      <c r="H17" s="47">
        <f>H4-H15</f>
        <v>870.71259999999984</v>
      </c>
      <c r="K17" s="35" t="s">
        <v>56</v>
      </c>
      <c r="L17">
        <f>L13*M17</f>
        <v>0</v>
      </c>
      <c r="M17" s="38">
        <v>0</v>
      </c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20" spans="1:13" x14ac:dyDescent="0.25">
      <c r="A20" s="33" t="s">
        <v>57</v>
      </c>
      <c r="C20" s="34" t="s">
        <v>58</v>
      </c>
      <c r="D20" s="34" t="s">
        <v>59</v>
      </c>
      <c r="E20" s="34" t="s">
        <v>60</v>
      </c>
      <c r="F20" s="34" t="s">
        <v>59</v>
      </c>
      <c r="G20" s="34"/>
      <c r="H20" s="34" t="s">
        <v>61</v>
      </c>
    </row>
    <row r="22" spans="1:13" x14ac:dyDescent="0.25">
      <c r="A22" t="s">
        <v>62</v>
      </c>
      <c r="C22" s="37">
        <f>'COO BR'!C22</f>
        <v>68</v>
      </c>
      <c r="D22" t="s">
        <v>63</v>
      </c>
      <c r="E22" s="37">
        <f>E4/1000</f>
        <v>0.24199999999999999</v>
      </c>
      <c r="F22" t="s">
        <v>64</v>
      </c>
      <c r="H22">
        <f>C22*E22</f>
        <v>16.456</v>
      </c>
      <c r="I22" s="48"/>
      <c r="L22" s="39">
        <f>H22*$L$1</f>
        <v>16.456</v>
      </c>
    </row>
    <row r="23" spans="1:13" x14ac:dyDescent="0.25">
      <c r="A23" t="s">
        <v>65</v>
      </c>
      <c r="C23" s="37">
        <f>'COO BR'!C23</f>
        <v>70</v>
      </c>
      <c r="D23" t="s">
        <v>98</v>
      </c>
      <c r="E23" s="37">
        <f>'COO BR'!E23</f>
        <v>50</v>
      </c>
      <c r="F23" t="s">
        <v>73</v>
      </c>
      <c r="H23">
        <f>E23*C23/1000</f>
        <v>3.5</v>
      </c>
      <c r="L23" s="39">
        <f t="shared" ref="L23:L34" si="0">H23*$L$1</f>
        <v>3.5</v>
      </c>
    </row>
    <row r="24" spans="1:13" x14ac:dyDescent="0.25">
      <c r="A24" t="s">
        <v>66</v>
      </c>
      <c r="B24" s="40" t="str">
        <f>'COO BR'!B24</f>
        <v>DAP</v>
      </c>
      <c r="C24" s="37">
        <f>'COO BR'!C24</f>
        <v>100</v>
      </c>
      <c r="D24" t="s">
        <v>63</v>
      </c>
      <c r="E24" s="37">
        <f>'COO BR'!E24</f>
        <v>998</v>
      </c>
      <c r="F24" t="s">
        <v>67</v>
      </c>
      <c r="H24">
        <f>C24*E24/1000</f>
        <v>99.8</v>
      </c>
      <c r="L24" s="39">
        <f t="shared" si="0"/>
        <v>99.8</v>
      </c>
    </row>
    <row r="25" spans="1:13" x14ac:dyDescent="0.25">
      <c r="A25" t="s">
        <v>68</v>
      </c>
      <c r="B25" s="40" t="str">
        <f>'COO BR'!B25</f>
        <v>UAN</v>
      </c>
      <c r="C25" s="37">
        <f>'COO BR'!C25</f>
        <v>0</v>
      </c>
      <c r="D25" t="s">
        <v>72</v>
      </c>
      <c r="E25" s="37">
        <f>'COO BR'!E25</f>
        <v>750</v>
      </c>
      <c r="F25" t="s">
        <v>136</v>
      </c>
      <c r="H25">
        <f>C25*E25/1000</f>
        <v>0</v>
      </c>
      <c r="L25" s="39">
        <f>H25*L1</f>
        <v>0</v>
      </c>
    </row>
    <row r="26" spans="1:13" x14ac:dyDescent="0.25">
      <c r="A26" t="s">
        <v>71</v>
      </c>
      <c r="B26" s="40" t="str">
        <f>'COO BR'!B26</f>
        <v>Ultramax</v>
      </c>
      <c r="C26" s="37">
        <f>'COO BR'!C26</f>
        <v>2</v>
      </c>
      <c r="D26" t="s">
        <v>72</v>
      </c>
      <c r="E26" s="37">
        <f>'COO BR'!E26</f>
        <v>8</v>
      </c>
      <c r="F26" t="s">
        <v>73</v>
      </c>
      <c r="H26">
        <f>E26*C26</f>
        <v>16</v>
      </c>
      <c r="L26" s="39">
        <f t="shared" si="0"/>
        <v>16</v>
      </c>
    </row>
    <row r="27" spans="1:13" x14ac:dyDescent="0.25">
      <c r="A27" t="s">
        <v>74</v>
      </c>
      <c r="B27" s="40" t="str">
        <f>'COO BR'!B27</f>
        <v>Striker</v>
      </c>
      <c r="C27" s="37">
        <f>'COO BR'!C27</f>
        <v>0.15</v>
      </c>
      <c r="D27" t="s">
        <v>72</v>
      </c>
      <c r="E27" s="37">
        <f>'COO BR'!E27</f>
        <v>50</v>
      </c>
      <c r="F27" t="s">
        <v>73</v>
      </c>
      <c r="H27">
        <f>E27*C27</f>
        <v>7.5</v>
      </c>
      <c r="L27" s="39">
        <f t="shared" si="0"/>
        <v>7.5</v>
      </c>
    </row>
    <row r="28" spans="1:13" x14ac:dyDescent="0.25">
      <c r="A28" t="s">
        <v>75</v>
      </c>
      <c r="B28" s="40" t="str">
        <f>'COO BR'!B28</f>
        <v>Jedi Duo</v>
      </c>
      <c r="C28" s="37">
        <f>'COO BR'!C28</f>
        <v>1.8</v>
      </c>
      <c r="D28" t="s">
        <v>72</v>
      </c>
      <c r="E28" s="37">
        <f>'COO BR'!E28</f>
        <v>20</v>
      </c>
      <c r="F28" t="s">
        <v>73</v>
      </c>
      <c r="H28">
        <f>E28*C28</f>
        <v>36</v>
      </c>
      <c r="L28" s="39">
        <f t="shared" si="0"/>
        <v>36</v>
      </c>
    </row>
    <row r="29" spans="1:13" x14ac:dyDescent="0.25">
      <c r="A29" t="s">
        <v>76</v>
      </c>
      <c r="B29" s="40" t="s">
        <v>137</v>
      </c>
      <c r="C29" s="37">
        <f>'COO BR'!C29</f>
        <v>0.5</v>
      </c>
      <c r="D29" t="s">
        <v>72</v>
      </c>
      <c r="E29" s="37">
        <f>'COO BR'!E29</f>
        <v>11</v>
      </c>
      <c r="F29" t="s">
        <v>73</v>
      </c>
      <c r="H29">
        <f>E29*C29</f>
        <v>5.5</v>
      </c>
      <c r="L29" s="39">
        <f t="shared" si="0"/>
        <v>5.5</v>
      </c>
    </row>
    <row r="30" spans="1:13" x14ac:dyDescent="0.25">
      <c r="A30" t="s">
        <v>77</v>
      </c>
      <c r="B30" s="40" t="str">
        <f>'COO BR'!B30</f>
        <v>Lontrel</v>
      </c>
      <c r="C30" s="37">
        <f>'COO BR'!C30</f>
        <v>0.125</v>
      </c>
      <c r="D30" t="s">
        <v>72</v>
      </c>
      <c r="E30" s="37">
        <f>'COO BR'!E30</f>
        <v>20</v>
      </c>
      <c r="F30" t="s">
        <v>73</v>
      </c>
      <c r="H30">
        <f t="shared" ref="H30:H31" si="1">E30*C30</f>
        <v>2.5</v>
      </c>
      <c r="L30" s="39">
        <f t="shared" si="0"/>
        <v>2.5</v>
      </c>
    </row>
    <row r="31" spans="1:13" x14ac:dyDescent="0.25">
      <c r="A31" t="s">
        <v>99</v>
      </c>
      <c r="B31" s="40" t="str">
        <f>'COO BR'!B31</f>
        <v>Tilt</v>
      </c>
      <c r="C31" s="37">
        <f>'COO BR'!C31</f>
        <v>0</v>
      </c>
      <c r="D31" t="s">
        <v>72</v>
      </c>
      <c r="E31" s="37">
        <f>'COO BR'!E31</f>
        <v>16</v>
      </c>
      <c r="F31" t="s">
        <v>73</v>
      </c>
      <c r="H31">
        <f t="shared" si="1"/>
        <v>0</v>
      </c>
      <c r="L31" s="39">
        <f t="shared" si="0"/>
        <v>0</v>
      </c>
    </row>
    <row r="32" spans="1:13" x14ac:dyDescent="0.25">
      <c r="A32" t="s">
        <v>78</v>
      </c>
      <c r="C32" s="41">
        <v>0.01</v>
      </c>
      <c r="E32" s="45"/>
      <c r="H32" s="42">
        <f>C32*H4</f>
        <v>10.212399999999999</v>
      </c>
      <c r="L32" s="39">
        <f t="shared" si="0"/>
        <v>10.212399999999999</v>
      </c>
    </row>
    <row r="33" spans="1:12" x14ac:dyDescent="0.25">
      <c r="A33" t="s">
        <v>79</v>
      </c>
      <c r="C33" s="43">
        <f>C13</f>
        <v>4.22</v>
      </c>
      <c r="D33" t="s">
        <v>80</v>
      </c>
      <c r="E33" s="37">
        <v>0</v>
      </c>
      <c r="F33" t="s">
        <v>67</v>
      </c>
      <c r="H33" s="39">
        <f>E33*C33</f>
        <v>0</v>
      </c>
      <c r="L33" s="39">
        <f t="shared" si="0"/>
        <v>0</v>
      </c>
    </row>
    <row r="34" spans="1:12" x14ac:dyDescent="0.25">
      <c r="A34" t="s">
        <v>81</v>
      </c>
      <c r="C34" s="37">
        <v>9</v>
      </c>
      <c r="D34" t="s">
        <v>72</v>
      </c>
      <c r="E34" s="37">
        <f>[1]INPUT!I33</f>
        <v>1.5</v>
      </c>
      <c r="F34" t="s">
        <v>73</v>
      </c>
      <c r="H34">
        <f>E34*C34</f>
        <v>13.5</v>
      </c>
      <c r="L34" s="39">
        <f t="shared" si="0"/>
        <v>13.5</v>
      </c>
    </row>
    <row r="35" spans="1:12" x14ac:dyDescent="0.25">
      <c r="C35" s="44"/>
      <c r="E35" s="45"/>
      <c r="L35" s="39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8" spans="1:12" x14ac:dyDescent="0.25">
      <c r="F38" s="46" t="s">
        <v>82</v>
      </c>
      <c r="H38" s="47">
        <f>SUM(H22:H36)</f>
        <v>210.9684</v>
      </c>
      <c r="K38" s="46" t="s">
        <v>83</v>
      </c>
      <c r="L38" s="39">
        <f>SUM(L22:L37)</f>
        <v>210.9684</v>
      </c>
    </row>
    <row r="39" spans="1:12" x14ac:dyDescent="0.25">
      <c r="H39" s="47"/>
      <c r="K39" s="46"/>
      <c r="L39" s="39"/>
    </row>
    <row r="40" spans="1:12" x14ac:dyDescent="0.25">
      <c r="H40" s="47"/>
      <c r="K40" s="46" t="s">
        <v>84</v>
      </c>
      <c r="L40" s="39">
        <f>L13-L38</f>
        <v>659.74419999999986</v>
      </c>
    </row>
    <row r="41" spans="1:12" x14ac:dyDescent="0.25">
      <c r="H41" s="47"/>
      <c r="K41" s="46" t="s">
        <v>85</v>
      </c>
      <c r="L41" s="39">
        <f>L6*E17</f>
        <v>0</v>
      </c>
    </row>
    <row r="42" spans="1:12" x14ac:dyDescent="0.25">
      <c r="H42" s="47"/>
      <c r="K42" s="46"/>
      <c r="L42" s="39"/>
    </row>
    <row r="43" spans="1:12" x14ac:dyDescent="0.25">
      <c r="F43" s="46" t="s">
        <v>86</v>
      </c>
      <c r="H43" s="47">
        <f>H17-H38</f>
        <v>659.74419999999986</v>
      </c>
      <c r="K43" s="46" t="s">
        <v>87</v>
      </c>
      <c r="L43" s="39">
        <f>L40+L41</f>
        <v>659.74419999999986</v>
      </c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6" spans="1:12" x14ac:dyDescent="0.25">
      <c r="A46" s="33" t="s">
        <v>88</v>
      </c>
      <c r="C46" s="47">
        <f>H38/E4</f>
        <v>0.87177024793388436</v>
      </c>
    </row>
    <row r="47" spans="1:12" x14ac:dyDescent="0.25">
      <c r="C47" s="47"/>
    </row>
    <row r="48" spans="1:12" x14ac:dyDescent="0.25">
      <c r="A48" s="33" t="s">
        <v>89</v>
      </c>
      <c r="C48" s="47">
        <f>H38/C4</f>
        <v>49.992511848341238</v>
      </c>
    </row>
    <row r="49" spans="1:12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1" spans="1:12" x14ac:dyDescent="0.25">
      <c r="A51" s="33" t="s">
        <v>90</v>
      </c>
      <c r="E51" s="35" t="s">
        <v>91</v>
      </c>
      <c r="F51" s="50">
        <f>H38</f>
        <v>210.9684</v>
      </c>
      <c r="G51" t="s">
        <v>92</v>
      </c>
    </row>
    <row r="53" spans="1:12" x14ac:dyDescent="0.25">
      <c r="A53" t="s">
        <v>104</v>
      </c>
      <c r="C53" s="37"/>
    </row>
    <row r="54" spans="1:12" x14ac:dyDescent="0.25">
      <c r="A54" t="s">
        <v>109</v>
      </c>
      <c r="C54" s="37"/>
    </row>
    <row r="55" spans="1:12" x14ac:dyDescent="0.25">
      <c r="E55" s="34" t="s">
        <v>94</v>
      </c>
    </row>
    <row r="56" spans="1:12" x14ac:dyDescent="0.25">
      <c r="C56" s="46" t="s">
        <v>93</v>
      </c>
      <c r="D56" s="33">
        <f>MIN(QUALITY!$O$28:$O$31)</f>
        <v>238</v>
      </c>
      <c r="E56" s="33">
        <f>AVERAGE(QUALITY!$O$28:$O$31)</f>
        <v>241</v>
      </c>
      <c r="F56" s="33">
        <f>MAX(QUALITY!$O$28:$O$31)</f>
        <v>242</v>
      </c>
    </row>
    <row r="57" spans="1:12" x14ac:dyDescent="0.25">
      <c r="A57" s="33" t="s">
        <v>95</v>
      </c>
      <c r="C57" s="33">
        <f>MAX(QUALITY!$H$28:$H$31)</f>
        <v>4.22</v>
      </c>
      <c r="D57" s="39">
        <f>C57*(D56-$E$15)-$H$38</f>
        <v>642.86419999999987</v>
      </c>
      <c r="E57" s="39">
        <f>C57*(E56-$E$15)-$H$38</f>
        <v>655.52419999999995</v>
      </c>
      <c r="F57" s="39">
        <f>C57*(F56-$E$15)-$H$38</f>
        <v>659.74419999999986</v>
      </c>
    </row>
    <row r="58" spans="1:12" x14ac:dyDescent="0.25">
      <c r="A58" s="33" t="s">
        <v>96</v>
      </c>
      <c r="C58" s="33">
        <f>AVERAGE(QUALITY!$H$28:$H$31)</f>
        <v>4.08</v>
      </c>
      <c r="D58" s="39">
        <f>C58*(D56-$E$15)-$H$38</f>
        <v>614.53800000000001</v>
      </c>
      <c r="E58" s="39">
        <f>C58*(E56-$E$15)-$H$38</f>
        <v>626.77800000000002</v>
      </c>
      <c r="F58" s="39">
        <f>C58*(F56-$E$15)-$H$38</f>
        <v>630.85799999999995</v>
      </c>
    </row>
    <row r="59" spans="1:12" x14ac:dyDescent="0.25">
      <c r="A59" s="33" t="s">
        <v>97</v>
      </c>
      <c r="C59" s="33">
        <f>MIN(QUALITY!$H$28:$H$31)</f>
        <v>3.83</v>
      </c>
      <c r="D59" s="39">
        <f>C59*(D56-$E$15)-$H$38</f>
        <v>563.95550000000003</v>
      </c>
      <c r="E59" s="39">
        <f>C59*(E56-$E$15)-$H$38</f>
        <v>575.44549999999992</v>
      </c>
      <c r="F59" s="39">
        <f>C59*(F56-$E$15)-$H$38</f>
        <v>579.27549999999997</v>
      </c>
    </row>
    <row r="60" spans="1:12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sheetProtection algorithmName="SHA-512" hashValue="SUflNaerPmKbntARipfnUhqUx/KvKhxHE9WM3ES35TAef6imGfV/hueHxx2b0OJOSZGcmoSaXBOYLbHkaLD8gg==" saltValue="aCuxnGmk0kFjzKncy+R0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QUALITY</vt:lpstr>
      <vt:lpstr>RESULTS</vt:lpstr>
      <vt:lpstr>COO BR</vt:lpstr>
      <vt:lpstr>COO DR</vt:lpstr>
      <vt:lpstr>RAC BR</vt:lpstr>
      <vt:lpstr>RAC DR</vt:lpstr>
      <vt:lpstr>SAN BR</vt:lpstr>
      <vt:lpstr>SAN DR</vt:lpstr>
      <vt:lpstr>WJ BR</vt:lpstr>
      <vt:lpstr>WJ DR</vt:lpstr>
      <vt:lpstr>YEE BR</vt:lpstr>
      <vt:lpstr>YEE DR</vt:lpstr>
      <vt:lpstr>Sheet10</vt:lpstr>
    </vt:vector>
  </TitlesOfParts>
  <Company>The 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Pearce</dc:creator>
  <cp:lastModifiedBy>Jason Able</cp:lastModifiedBy>
  <dcterms:created xsi:type="dcterms:W3CDTF">2016-01-19T23:19:27Z</dcterms:created>
  <dcterms:modified xsi:type="dcterms:W3CDTF">2016-03-09T00:49:24Z</dcterms:modified>
</cp:coreProperties>
</file>